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· Área-velocidad" sheetId="1" state="visible" r:id="rId1"/>
    <sheet xmlns:r="http://schemas.openxmlformats.org/officeDocument/2006/relationships" name="2 · Flotador y volumétrico" sheetId="2" state="visible" r:id="rId2"/>
    <sheet xmlns:r="http://schemas.openxmlformats.org/officeDocument/2006/relationships" name="3 · Vertederos" sheetId="3" state="visible" r:id="rId3"/>
    <sheet xmlns:r="http://schemas.openxmlformats.org/officeDocument/2006/relationships" name="4 · Canales (Manning)" sheetId="4" state="visible" r:id="rId4"/>
    <sheet xmlns:r="http://schemas.openxmlformats.org/officeDocument/2006/relationships" name="5 · Resumen y fórmula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E3B2E"/>
      <sz val="15"/>
    </font>
    <font>
      <color rgb="006B7A72"/>
      <sz val="9"/>
    </font>
    <font>
      <b val="1"/>
      <color rgb="00FFFFFF"/>
      <sz val="9"/>
    </font>
    <font>
      <b val="1"/>
      <sz val="10"/>
    </font>
    <font>
      <b val="1"/>
      <color rgb="000E3B2E"/>
      <sz val="13"/>
    </font>
  </fonts>
  <fills count="5">
    <fill>
      <patternFill/>
    </fill>
    <fill>
      <patternFill patternType="gray125"/>
    </fill>
    <fill>
      <patternFill patternType="solid">
        <fgColor rgb="000E3B2E"/>
      </patternFill>
    </fill>
    <fill>
      <patternFill patternType="solid">
        <fgColor rgb="00E6D6A8"/>
      </patternFill>
    </fill>
    <fill>
      <patternFill patternType="solid">
        <fgColor rgb="00EAF1EC"/>
      </patternFill>
    </fill>
  </fills>
  <borders count="5">
    <border>
      <left/>
      <right/>
      <top/>
      <bottom/>
      <diagonal/>
    </border>
    <border>
      <left style="thin">
        <color rgb="00D2E0D6"/>
      </left>
      <right style="thin">
        <color rgb="00D2E0D6"/>
      </right>
      <top style="thin">
        <color rgb="00D2E0D6"/>
      </top>
      <bottom style="thin">
        <color rgb="00D2E0D6"/>
      </bottom>
    </border>
    <border>
      <left/>
      <right/>
      <top style="thin">
        <color rgb="00D2E0D6"/>
      </top>
      <bottom/>
      <diagonal/>
    </border>
    <border>
      <left/>
      <right style="thin">
        <color rgb="00D2E0D6"/>
      </right>
      <top style="thin">
        <color rgb="00D2E0D6"/>
      </top>
      <bottom/>
      <diagonal/>
    </border>
    <border>
      <left/>
      <right style="thin">
        <color rgb="00D2E0D6"/>
      </right>
      <top style="thin">
        <color rgb="00D2E0D6"/>
      </top>
      <bottom style="thin">
        <color rgb="00D2E0D6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4" borderId="1" applyAlignment="1" pivotButton="0" quotePrefix="0" xfId="0">
      <alignment horizontal="center" vertical="center"/>
    </xf>
    <xf numFmtId="0" fontId="4" fillId="0" borderId="0" pivotButton="0" quotePrefix="0" xfId="0"/>
    <xf numFmtId="0" fontId="5" fillId="4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0" fillId="0" borderId="4" pivotButton="0" quotePrefix="0" xfId="0"/>
  </cellXfs>
  <cellStyles count="1">
    <cellStyle name="Normal" xfId="0" builtinId="0" hidden="0"/>
  </cellStyles>
  <dxfs count="1">
    <dxf>
      <font>
        <b val="1"/>
        <color rgb="008A5B00"/>
      </font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Perfil de la sección transversal</a:t>
            </a:r>
          </a:p>
        </rich>
      </tx>
    </title>
    <plotArea>
      <scatterChart>
        <ser>
          <idx val="0"/>
          <order val="0"/>
          <tx>
            <v>Fondo del cauce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xVal>
            <numRef>
              <f>'1 · Área-velocidad'!$B$6:$B$35</f>
            </numRef>
          </xVal>
          <yVal>
            <numRef>
              <f>'1 · Área-velocidad'!$L$6:$L$35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Distancia desde la margen (m)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Profundidad (m)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Velocidad media por vertical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 · Área-velocidad'!G5</f>
            </strRef>
          </tx>
          <spPr>
            <a:ln xmlns:a="http://schemas.openxmlformats.org/drawingml/2006/main">
              <a:prstDash val="solid"/>
            </a:ln>
          </spPr>
          <cat>
            <numRef>
              <f>'1 · Área-velocidad'!$A$6:$A$35</f>
            </numRef>
          </cat>
          <val>
            <numRef>
              <f>'1 · Área-velocidad'!$G$6:$G$35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Vertical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m/s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Aporte de caudal por vertical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 · Área-velocidad'!J5</f>
            </strRef>
          </tx>
          <spPr>
            <a:ln xmlns:a="http://schemas.openxmlformats.org/drawingml/2006/main">
              <a:prstDash val="solid"/>
            </a:ln>
          </spPr>
          <cat>
            <numRef>
              <f>'1 · Área-velocidad'!$A$6:$A$35</f>
            </numRef>
          </cat>
          <val>
            <numRef>
              <f>'1 · Área-velocidad'!$J$6:$J$35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Vertical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m³/s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Curva de descarga · vertedero triangular 90°</a:t>
            </a:r>
          </a:p>
        </rich>
      </tx>
    </title>
    <plotArea>
      <lineChart>
        <grouping val="standard"/>
        <ser>
          <idx val="0"/>
          <order val="0"/>
          <tx>
            <strRef>
              <f>'3 · Vertederos'!G5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'3 · Vertederos'!$F$6:$F$20</f>
            </numRef>
          </cat>
          <val>
            <numRef>
              <f>'3 · Vertederos'!$G$6:$G$20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Carga H (m)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Caudal (L/s)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Curva de descarga · caudal según el tirante</a:t>
            </a:r>
          </a:p>
        </rich>
      </tx>
    </title>
    <plotArea>
      <lineChart>
        <grouping val="standard"/>
        <ser>
          <idx val="0"/>
          <order val="0"/>
          <tx>
            <strRef>
              <f>'4 · Canales (Manning)'!H6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'4 · Canales (Manning)'!$F$7:$F$26</f>
            </numRef>
          </cat>
          <val>
            <numRef>
              <f>'4 · Canales (Manning)'!$H$7:$H$26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Tirante y (m)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Caudal (m³/s)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_rels/drawing2.xml.rels><Relationships xmlns="http://schemas.openxmlformats.org/package/2006/relationships"><Relationship Type="http://schemas.openxmlformats.org/officeDocument/2006/relationships/chart" Target="/xl/charts/chart4.xml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5.xml" Id="rId1"/></Relationships>
</file>

<file path=xl/drawings/drawing1.xml><?xml version="1.0" encoding="utf-8"?>
<wsDr xmlns="http://schemas.openxmlformats.org/drawingml/2006/spreadsheetDrawing">
  <oneCellAnchor>
    <from>
      <col>13</col>
      <colOff>0</colOff>
      <row>4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13</col>
      <colOff>0</colOff>
      <row>21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38</row>
      <rowOff>0</rowOff>
    </from>
    <ext cx="540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8</col>
      <colOff>0</colOff>
      <row>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9</col>
      <colOff>0</colOff>
      <row>4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5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12" customWidth="1" min="3" max="3"/>
    <col width="10" customWidth="1" min="4" max="4"/>
    <col width="10" customWidth="1" min="5" max="5"/>
    <col width="10" customWidth="1" min="6" max="6"/>
    <col width="12" customWidth="1" min="7" max="7"/>
    <col width="13" customWidth="1" min="8" max="8"/>
    <col width="11" customWidth="1" min="9" max="9"/>
    <col width="13" customWidth="1" min="10" max="10"/>
    <col width="9" customWidth="1" min="11" max="11"/>
    <col width="11" customWidth="1" min="12" max="12"/>
  </cols>
  <sheetData>
    <row r="1">
      <c r="A1" s="1" t="inlineStr">
        <is>
          <t>AFORO POR ÁREA-VELOCIDAD · MÉTODO DE SECCIONES MEDIAS (ISO 748)</t>
        </is>
      </c>
    </row>
    <row r="2">
      <c r="A2" s="2" t="inlineStr">
        <is>
          <t>Es el método de referencia con correntómetro. Completa solo las celdas doradas: distancia desde la margen izquierda, profundidad y las velocidades puntuales. Todo lo demás se calcula.</t>
        </is>
      </c>
    </row>
    <row r="3">
      <c r="A3" s="2" t="inlineStr">
        <is>
          <t>Regla de velocidad: si la profundidad es menor a 0,75 m se mide una sola vertical a 0,6 de la profundidad; si es mayor, se promedian las lecturas a 0,2 y 0,8.</t>
        </is>
      </c>
    </row>
    <row r="5" ht="30" customHeight="1">
      <c r="A5" s="3" t="inlineStr">
        <is>
          <t>Vertical</t>
        </is>
      </c>
      <c r="B5" s="3" t="inlineStr">
        <is>
          <t>Distancia
desde margen (m)</t>
        </is>
      </c>
      <c r="C5" s="3" t="inlineStr">
        <is>
          <t>Profundidad
(m)</t>
        </is>
      </c>
      <c r="D5" s="3" t="inlineStr">
        <is>
          <t>v a 0,2h
(m/s)</t>
        </is>
      </c>
      <c r="E5" s="3" t="inlineStr">
        <is>
          <t>v a 0,6h
(m/s)</t>
        </is>
      </c>
      <c r="F5" s="3" t="inlineStr">
        <is>
          <t>v a 0,8h
(m/s)</t>
        </is>
      </c>
      <c r="G5" s="3" t="inlineStr">
        <is>
          <t>Velocidad
media (m/s)</t>
        </is>
      </c>
      <c r="H5" s="3" t="inlineStr">
        <is>
          <t>Ancho de
influencia (m)</t>
        </is>
      </c>
      <c r="I5" s="3" t="inlineStr">
        <is>
          <t>Área
parcial (m²)</t>
        </is>
      </c>
      <c r="J5" s="3" t="inlineStr">
        <is>
          <t>Caudal
parcial (m³/s)</t>
        </is>
      </c>
      <c r="K5" s="3" t="inlineStr">
        <is>
          <t>% del
caudal</t>
        </is>
      </c>
      <c r="L5" s="3" t="inlineStr">
        <is>
          <t>Perfil
(cota m)</t>
        </is>
      </c>
    </row>
    <row r="6">
      <c r="A6" s="4" t="inlineStr">
        <is>
          <t>V1</t>
        </is>
      </c>
      <c r="B6" s="5" t="n"/>
      <c r="C6" s="5" t="n"/>
      <c r="D6" s="5" t="n"/>
      <c r="E6" s="5" t="n"/>
      <c r="F6" s="5" t="n"/>
      <c r="G6" s="6">
        <f>IF($C6="","",IF(AND($D6&lt;&gt;"",$F6&lt;&gt;""),ROUND(($D6+$F6)/2,3),IF($E6&lt;&gt;"",$E6,"")))</f>
        <v/>
      </c>
      <c r="H6" s="6">
        <f>IF(OR($B6="",$B7=""),"",ROUND(($B7-$B6)/2,3))</f>
        <v/>
      </c>
      <c r="I6" s="6">
        <f>IF(OR($C6="",$H6=""),"",ROUND($C6*$H6,4))</f>
        <v/>
      </c>
      <c r="J6" s="6">
        <f>IF(OR($I6="",$G6=""),"",ROUND($I6*$G6,4))</f>
        <v/>
      </c>
      <c r="K6" s="6">
        <f>IF(OR($J6="",$B$38=0),"",ROUND($J6/$B$38*100,1))</f>
        <v/>
      </c>
      <c r="L6" s="6">
        <f>IF($C6="","",-$C6)</f>
        <v/>
      </c>
    </row>
    <row r="7">
      <c r="A7" s="4" t="inlineStr">
        <is>
          <t>V2</t>
        </is>
      </c>
      <c r="B7" s="5" t="n"/>
      <c r="C7" s="5" t="n"/>
      <c r="D7" s="5" t="n"/>
      <c r="E7" s="5" t="n"/>
      <c r="F7" s="5" t="n"/>
      <c r="G7" s="6">
        <f>IF($C7="","",IF(AND($D7&lt;&gt;"",$F7&lt;&gt;""),ROUND(($D7+$F7)/2,3),IF($E7&lt;&gt;"",$E7,"")))</f>
        <v/>
      </c>
      <c r="H7" s="6">
        <f>IF($B7="","",IF($B8="",ROUND(($B7-$B6)/2,3),ROUND(($B8-$B6)/2,3)))</f>
        <v/>
      </c>
      <c r="I7" s="6">
        <f>IF(OR($C7="",$H7=""),"",ROUND($C7*$H7,4))</f>
        <v/>
      </c>
      <c r="J7" s="6">
        <f>IF(OR($I7="",$G7=""),"",ROUND($I7*$G7,4))</f>
        <v/>
      </c>
      <c r="K7" s="6">
        <f>IF(OR($J7="",$B$38=0),"",ROUND($J7/$B$38*100,1))</f>
        <v/>
      </c>
      <c r="L7" s="6">
        <f>IF($C7="","",-$C7)</f>
        <v/>
      </c>
    </row>
    <row r="8">
      <c r="A8" s="4" t="inlineStr">
        <is>
          <t>V3</t>
        </is>
      </c>
      <c r="B8" s="5" t="n"/>
      <c r="C8" s="5" t="n"/>
      <c r="D8" s="5" t="n"/>
      <c r="E8" s="5" t="n"/>
      <c r="F8" s="5" t="n"/>
      <c r="G8" s="6">
        <f>IF($C8="","",IF(AND($D8&lt;&gt;"",$F8&lt;&gt;""),ROUND(($D8+$F8)/2,3),IF($E8&lt;&gt;"",$E8,"")))</f>
        <v/>
      </c>
      <c r="H8" s="6">
        <f>IF($B8="","",IF($B9="",ROUND(($B8-$B7)/2,3),ROUND(($B9-$B7)/2,3)))</f>
        <v/>
      </c>
      <c r="I8" s="6">
        <f>IF(OR($C8="",$H8=""),"",ROUND($C8*$H8,4))</f>
        <v/>
      </c>
      <c r="J8" s="6">
        <f>IF(OR($I8="",$G8=""),"",ROUND($I8*$G8,4))</f>
        <v/>
      </c>
      <c r="K8" s="6">
        <f>IF(OR($J8="",$B$38=0),"",ROUND($J8/$B$38*100,1))</f>
        <v/>
      </c>
      <c r="L8" s="6">
        <f>IF($C8="","",-$C8)</f>
        <v/>
      </c>
    </row>
    <row r="9">
      <c r="A9" s="4" t="inlineStr">
        <is>
          <t>V4</t>
        </is>
      </c>
      <c r="B9" s="5" t="n"/>
      <c r="C9" s="5" t="n"/>
      <c r="D9" s="5" t="n"/>
      <c r="E9" s="5" t="n"/>
      <c r="F9" s="5" t="n"/>
      <c r="G9" s="6">
        <f>IF($C9="","",IF(AND($D9&lt;&gt;"",$F9&lt;&gt;""),ROUND(($D9+$F9)/2,3),IF($E9&lt;&gt;"",$E9,"")))</f>
        <v/>
      </c>
      <c r="H9" s="6">
        <f>IF($B9="","",IF($B10="",ROUND(($B9-$B8)/2,3),ROUND(($B10-$B8)/2,3)))</f>
        <v/>
      </c>
      <c r="I9" s="6">
        <f>IF(OR($C9="",$H9=""),"",ROUND($C9*$H9,4))</f>
        <v/>
      </c>
      <c r="J9" s="6">
        <f>IF(OR($I9="",$G9=""),"",ROUND($I9*$G9,4))</f>
        <v/>
      </c>
      <c r="K9" s="6">
        <f>IF(OR($J9="",$B$38=0),"",ROUND($J9/$B$38*100,1))</f>
        <v/>
      </c>
      <c r="L9" s="6">
        <f>IF($C9="","",-$C9)</f>
        <v/>
      </c>
    </row>
    <row r="10">
      <c r="A10" s="4" t="inlineStr">
        <is>
          <t>V5</t>
        </is>
      </c>
      <c r="B10" s="5" t="n"/>
      <c r="C10" s="5" t="n"/>
      <c r="D10" s="5" t="n"/>
      <c r="E10" s="5" t="n"/>
      <c r="F10" s="5" t="n"/>
      <c r="G10" s="6">
        <f>IF($C10="","",IF(AND($D10&lt;&gt;"",$F10&lt;&gt;""),ROUND(($D10+$F10)/2,3),IF($E10&lt;&gt;"",$E10,"")))</f>
        <v/>
      </c>
      <c r="H10" s="6">
        <f>IF($B10="","",IF($B11="",ROUND(($B10-$B9)/2,3),ROUND(($B11-$B9)/2,3)))</f>
        <v/>
      </c>
      <c r="I10" s="6">
        <f>IF(OR($C10="",$H10=""),"",ROUND($C10*$H10,4))</f>
        <v/>
      </c>
      <c r="J10" s="6">
        <f>IF(OR($I10="",$G10=""),"",ROUND($I10*$G10,4))</f>
        <v/>
      </c>
      <c r="K10" s="6">
        <f>IF(OR($J10="",$B$38=0),"",ROUND($J10/$B$38*100,1))</f>
        <v/>
      </c>
      <c r="L10" s="6">
        <f>IF($C10="","",-$C10)</f>
        <v/>
      </c>
    </row>
    <row r="11">
      <c r="A11" s="4" t="inlineStr">
        <is>
          <t>V6</t>
        </is>
      </c>
      <c r="B11" s="5" t="n"/>
      <c r="C11" s="5" t="n"/>
      <c r="D11" s="5" t="n"/>
      <c r="E11" s="5" t="n"/>
      <c r="F11" s="5" t="n"/>
      <c r="G11" s="6">
        <f>IF($C11="","",IF(AND($D11&lt;&gt;"",$F11&lt;&gt;""),ROUND(($D11+$F11)/2,3),IF($E11&lt;&gt;"",$E11,"")))</f>
        <v/>
      </c>
      <c r="H11" s="6">
        <f>IF($B11="","",IF($B12="",ROUND(($B11-$B10)/2,3),ROUND(($B12-$B10)/2,3)))</f>
        <v/>
      </c>
      <c r="I11" s="6">
        <f>IF(OR($C11="",$H11=""),"",ROUND($C11*$H11,4))</f>
        <v/>
      </c>
      <c r="J11" s="6">
        <f>IF(OR($I11="",$G11=""),"",ROUND($I11*$G11,4))</f>
        <v/>
      </c>
      <c r="K11" s="6">
        <f>IF(OR($J11="",$B$38=0),"",ROUND($J11/$B$38*100,1))</f>
        <v/>
      </c>
      <c r="L11" s="6">
        <f>IF($C11="","",-$C11)</f>
        <v/>
      </c>
    </row>
    <row r="12">
      <c r="A12" s="4" t="inlineStr">
        <is>
          <t>V7</t>
        </is>
      </c>
      <c r="B12" s="5" t="n"/>
      <c r="C12" s="5" t="n"/>
      <c r="D12" s="5" t="n"/>
      <c r="E12" s="5" t="n"/>
      <c r="F12" s="5" t="n"/>
      <c r="G12" s="6">
        <f>IF($C12="","",IF(AND($D12&lt;&gt;"",$F12&lt;&gt;""),ROUND(($D12+$F12)/2,3),IF($E12&lt;&gt;"",$E12,"")))</f>
        <v/>
      </c>
      <c r="H12" s="6">
        <f>IF($B12="","",IF($B13="",ROUND(($B12-$B11)/2,3),ROUND(($B13-$B11)/2,3)))</f>
        <v/>
      </c>
      <c r="I12" s="6">
        <f>IF(OR($C12="",$H12=""),"",ROUND($C12*$H12,4))</f>
        <v/>
      </c>
      <c r="J12" s="6">
        <f>IF(OR($I12="",$G12=""),"",ROUND($I12*$G12,4))</f>
        <v/>
      </c>
      <c r="K12" s="6">
        <f>IF(OR($J12="",$B$38=0),"",ROUND($J12/$B$38*100,1))</f>
        <v/>
      </c>
      <c r="L12" s="6">
        <f>IF($C12="","",-$C12)</f>
        <v/>
      </c>
    </row>
    <row r="13">
      <c r="A13" s="4" t="inlineStr">
        <is>
          <t>V8</t>
        </is>
      </c>
      <c r="B13" s="5" t="n"/>
      <c r="C13" s="5" t="n"/>
      <c r="D13" s="5" t="n"/>
      <c r="E13" s="5" t="n"/>
      <c r="F13" s="5" t="n"/>
      <c r="G13" s="6">
        <f>IF($C13="","",IF(AND($D13&lt;&gt;"",$F13&lt;&gt;""),ROUND(($D13+$F13)/2,3),IF($E13&lt;&gt;"",$E13,"")))</f>
        <v/>
      </c>
      <c r="H13" s="6">
        <f>IF($B13="","",IF($B14="",ROUND(($B13-$B12)/2,3),ROUND(($B14-$B12)/2,3)))</f>
        <v/>
      </c>
      <c r="I13" s="6">
        <f>IF(OR($C13="",$H13=""),"",ROUND($C13*$H13,4))</f>
        <v/>
      </c>
      <c r="J13" s="6">
        <f>IF(OR($I13="",$G13=""),"",ROUND($I13*$G13,4))</f>
        <v/>
      </c>
      <c r="K13" s="6">
        <f>IF(OR($J13="",$B$38=0),"",ROUND($J13/$B$38*100,1))</f>
        <v/>
      </c>
      <c r="L13" s="6">
        <f>IF($C13="","",-$C13)</f>
        <v/>
      </c>
    </row>
    <row r="14">
      <c r="A14" s="4" t="inlineStr">
        <is>
          <t>V9</t>
        </is>
      </c>
      <c r="B14" s="5" t="n"/>
      <c r="C14" s="5" t="n"/>
      <c r="D14" s="5" t="n"/>
      <c r="E14" s="5" t="n"/>
      <c r="F14" s="5" t="n"/>
      <c r="G14" s="6">
        <f>IF($C14="","",IF(AND($D14&lt;&gt;"",$F14&lt;&gt;""),ROUND(($D14+$F14)/2,3),IF($E14&lt;&gt;"",$E14,"")))</f>
        <v/>
      </c>
      <c r="H14" s="6">
        <f>IF($B14="","",IF($B15="",ROUND(($B14-$B13)/2,3),ROUND(($B15-$B13)/2,3)))</f>
        <v/>
      </c>
      <c r="I14" s="6">
        <f>IF(OR($C14="",$H14=""),"",ROUND($C14*$H14,4))</f>
        <v/>
      </c>
      <c r="J14" s="6">
        <f>IF(OR($I14="",$G14=""),"",ROUND($I14*$G14,4))</f>
        <v/>
      </c>
      <c r="K14" s="6">
        <f>IF(OR($J14="",$B$38=0),"",ROUND($J14/$B$38*100,1))</f>
        <v/>
      </c>
      <c r="L14" s="6">
        <f>IF($C14="","",-$C14)</f>
        <v/>
      </c>
    </row>
    <row r="15">
      <c r="A15" s="4" t="inlineStr">
        <is>
          <t>V10</t>
        </is>
      </c>
      <c r="B15" s="5" t="n"/>
      <c r="C15" s="5" t="n"/>
      <c r="D15" s="5" t="n"/>
      <c r="E15" s="5" t="n"/>
      <c r="F15" s="5" t="n"/>
      <c r="G15" s="6">
        <f>IF($C15="","",IF(AND($D15&lt;&gt;"",$F15&lt;&gt;""),ROUND(($D15+$F15)/2,3),IF($E15&lt;&gt;"",$E15,"")))</f>
        <v/>
      </c>
      <c r="H15" s="6">
        <f>IF($B15="","",IF($B16="",ROUND(($B15-$B14)/2,3),ROUND(($B16-$B14)/2,3)))</f>
        <v/>
      </c>
      <c r="I15" s="6">
        <f>IF(OR($C15="",$H15=""),"",ROUND($C15*$H15,4))</f>
        <v/>
      </c>
      <c r="J15" s="6">
        <f>IF(OR($I15="",$G15=""),"",ROUND($I15*$G15,4))</f>
        <v/>
      </c>
      <c r="K15" s="6">
        <f>IF(OR($J15="",$B$38=0),"",ROUND($J15/$B$38*100,1))</f>
        <v/>
      </c>
      <c r="L15" s="6">
        <f>IF($C15="","",-$C15)</f>
        <v/>
      </c>
    </row>
    <row r="16">
      <c r="A16" s="4" t="inlineStr">
        <is>
          <t>V11</t>
        </is>
      </c>
      <c r="B16" s="5" t="n"/>
      <c r="C16" s="5" t="n"/>
      <c r="D16" s="5" t="n"/>
      <c r="E16" s="5" t="n"/>
      <c r="F16" s="5" t="n"/>
      <c r="G16" s="6">
        <f>IF($C16="","",IF(AND($D16&lt;&gt;"",$F16&lt;&gt;""),ROUND(($D16+$F16)/2,3),IF($E16&lt;&gt;"",$E16,"")))</f>
        <v/>
      </c>
      <c r="H16" s="6">
        <f>IF($B16="","",IF($B17="",ROUND(($B16-$B15)/2,3),ROUND(($B17-$B15)/2,3)))</f>
        <v/>
      </c>
      <c r="I16" s="6">
        <f>IF(OR($C16="",$H16=""),"",ROUND($C16*$H16,4))</f>
        <v/>
      </c>
      <c r="J16" s="6">
        <f>IF(OR($I16="",$G16=""),"",ROUND($I16*$G16,4))</f>
        <v/>
      </c>
      <c r="K16" s="6">
        <f>IF(OR($J16="",$B$38=0),"",ROUND($J16/$B$38*100,1))</f>
        <v/>
      </c>
      <c r="L16" s="6">
        <f>IF($C16="","",-$C16)</f>
        <v/>
      </c>
    </row>
    <row r="17">
      <c r="A17" s="4" t="inlineStr">
        <is>
          <t>V12</t>
        </is>
      </c>
      <c r="B17" s="5" t="n"/>
      <c r="C17" s="5" t="n"/>
      <c r="D17" s="5" t="n"/>
      <c r="E17" s="5" t="n"/>
      <c r="F17" s="5" t="n"/>
      <c r="G17" s="6">
        <f>IF($C17="","",IF(AND($D17&lt;&gt;"",$F17&lt;&gt;""),ROUND(($D17+$F17)/2,3),IF($E17&lt;&gt;"",$E17,"")))</f>
        <v/>
      </c>
      <c r="H17" s="6">
        <f>IF($B17="","",IF($B18="",ROUND(($B17-$B16)/2,3),ROUND(($B18-$B16)/2,3)))</f>
        <v/>
      </c>
      <c r="I17" s="6">
        <f>IF(OR($C17="",$H17=""),"",ROUND($C17*$H17,4))</f>
        <v/>
      </c>
      <c r="J17" s="6">
        <f>IF(OR($I17="",$G17=""),"",ROUND($I17*$G17,4))</f>
        <v/>
      </c>
      <c r="K17" s="6">
        <f>IF(OR($J17="",$B$38=0),"",ROUND($J17/$B$38*100,1))</f>
        <v/>
      </c>
      <c r="L17" s="6">
        <f>IF($C17="","",-$C17)</f>
        <v/>
      </c>
    </row>
    <row r="18">
      <c r="A18" s="4" t="inlineStr">
        <is>
          <t>V13</t>
        </is>
      </c>
      <c r="B18" s="5" t="n"/>
      <c r="C18" s="5" t="n"/>
      <c r="D18" s="5" t="n"/>
      <c r="E18" s="5" t="n"/>
      <c r="F18" s="5" t="n"/>
      <c r="G18" s="6">
        <f>IF($C18="","",IF(AND($D18&lt;&gt;"",$F18&lt;&gt;""),ROUND(($D18+$F18)/2,3),IF($E18&lt;&gt;"",$E18,"")))</f>
        <v/>
      </c>
      <c r="H18" s="6">
        <f>IF($B18="","",IF($B19="",ROUND(($B18-$B17)/2,3),ROUND(($B19-$B17)/2,3)))</f>
        <v/>
      </c>
      <c r="I18" s="6">
        <f>IF(OR($C18="",$H18=""),"",ROUND($C18*$H18,4))</f>
        <v/>
      </c>
      <c r="J18" s="6">
        <f>IF(OR($I18="",$G18=""),"",ROUND($I18*$G18,4))</f>
        <v/>
      </c>
      <c r="K18" s="6">
        <f>IF(OR($J18="",$B$38=0),"",ROUND($J18/$B$38*100,1))</f>
        <v/>
      </c>
      <c r="L18" s="6">
        <f>IF($C18="","",-$C18)</f>
        <v/>
      </c>
    </row>
    <row r="19">
      <c r="A19" s="4" t="inlineStr">
        <is>
          <t>V14</t>
        </is>
      </c>
      <c r="B19" s="5" t="n"/>
      <c r="C19" s="5" t="n"/>
      <c r="D19" s="5" t="n"/>
      <c r="E19" s="5" t="n"/>
      <c r="F19" s="5" t="n"/>
      <c r="G19" s="6">
        <f>IF($C19="","",IF(AND($D19&lt;&gt;"",$F19&lt;&gt;""),ROUND(($D19+$F19)/2,3),IF($E19&lt;&gt;"",$E19,"")))</f>
        <v/>
      </c>
      <c r="H19" s="6">
        <f>IF($B19="","",IF($B20="",ROUND(($B19-$B18)/2,3),ROUND(($B20-$B18)/2,3)))</f>
        <v/>
      </c>
      <c r="I19" s="6">
        <f>IF(OR($C19="",$H19=""),"",ROUND($C19*$H19,4))</f>
        <v/>
      </c>
      <c r="J19" s="6">
        <f>IF(OR($I19="",$G19=""),"",ROUND($I19*$G19,4))</f>
        <v/>
      </c>
      <c r="K19" s="6">
        <f>IF(OR($J19="",$B$38=0),"",ROUND($J19/$B$38*100,1))</f>
        <v/>
      </c>
      <c r="L19" s="6">
        <f>IF($C19="","",-$C19)</f>
        <v/>
      </c>
    </row>
    <row r="20">
      <c r="A20" s="4" t="inlineStr">
        <is>
          <t>V15</t>
        </is>
      </c>
      <c r="B20" s="5" t="n"/>
      <c r="C20" s="5" t="n"/>
      <c r="D20" s="5" t="n"/>
      <c r="E20" s="5" t="n"/>
      <c r="F20" s="5" t="n"/>
      <c r="G20" s="6">
        <f>IF($C20="","",IF(AND($D20&lt;&gt;"",$F20&lt;&gt;""),ROUND(($D20+$F20)/2,3),IF($E20&lt;&gt;"",$E20,"")))</f>
        <v/>
      </c>
      <c r="H20" s="6">
        <f>IF($B20="","",IF($B21="",ROUND(($B20-$B19)/2,3),ROUND(($B21-$B19)/2,3)))</f>
        <v/>
      </c>
      <c r="I20" s="6">
        <f>IF(OR($C20="",$H20=""),"",ROUND($C20*$H20,4))</f>
        <v/>
      </c>
      <c r="J20" s="6">
        <f>IF(OR($I20="",$G20=""),"",ROUND($I20*$G20,4))</f>
        <v/>
      </c>
      <c r="K20" s="6">
        <f>IF(OR($J20="",$B$38=0),"",ROUND($J20/$B$38*100,1))</f>
        <v/>
      </c>
      <c r="L20" s="6">
        <f>IF($C20="","",-$C20)</f>
        <v/>
      </c>
    </row>
    <row r="21">
      <c r="A21" s="4" t="inlineStr">
        <is>
          <t>V16</t>
        </is>
      </c>
      <c r="B21" s="5" t="n"/>
      <c r="C21" s="5" t="n"/>
      <c r="D21" s="5" t="n"/>
      <c r="E21" s="5" t="n"/>
      <c r="F21" s="5" t="n"/>
      <c r="G21" s="6">
        <f>IF($C21="","",IF(AND($D21&lt;&gt;"",$F21&lt;&gt;""),ROUND(($D21+$F21)/2,3),IF($E21&lt;&gt;"",$E21,"")))</f>
        <v/>
      </c>
      <c r="H21" s="6">
        <f>IF($B21="","",IF($B22="",ROUND(($B21-$B20)/2,3),ROUND(($B22-$B20)/2,3)))</f>
        <v/>
      </c>
      <c r="I21" s="6">
        <f>IF(OR($C21="",$H21=""),"",ROUND($C21*$H21,4))</f>
        <v/>
      </c>
      <c r="J21" s="6">
        <f>IF(OR($I21="",$G21=""),"",ROUND($I21*$G21,4))</f>
        <v/>
      </c>
      <c r="K21" s="6">
        <f>IF(OR($J21="",$B$38=0),"",ROUND($J21/$B$38*100,1))</f>
        <v/>
      </c>
      <c r="L21" s="6">
        <f>IF($C21="","",-$C21)</f>
        <v/>
      </c>
    </row>
    <row r="22">
      <c r="A22" s="4" t="inlineStr">
        <is>
          <t>V17</t>
        </is>
      </c>
      <c r="B22" s="5" t="n"/>
      <c r="C22" s="5" t="n"/>
      <c r="D22" s="5" t="n"/>
      <c r="E22" s="5" t="n"/>
      <c r="F22" s="5" t="n"/>
      <c r="G22" s="6">
        <f>IF($C22="","",IF(AND($D22&lt;&gt;"",$F22&lt;&gt;""),ROUND(($D22+$F22)/2,3),IF($E22&lt;&gt;"",$E22,"")))</f>
        <v/>
      </c>
      <c r="H22" s="6">
        <f>IF($B22="","",IF($B23="",ROUND(($B22-$B21)/2,3),ROUND(($B23-$B21)/2,3)))</f>
        <v/>
      </c>
      <c r="I22" s="6">
        <f>IF(OR($C22="",$H22=""),"",ROUND($C22*$H22,4))</f>
        <v/>
      </c>
      <c r="J22" s="6">
        <f>IF(OR($I22="",$G22=""),"",ROUND($I22*$G22,4))</f>
        <v/>
      </c>
      <c r="K22" s="6">
        <f>IF(OR($J22="",$B$38=0),"",ROUND($J22/$B$38*100,1))</f>
        <v/>
      </c>
      <c r="L22" s="6">
        <f>IF($C22="","",-$C22)</f>
        <v/>
      </c>
    </row>
    <row r="23">
      <c r="A23" s="4" t="inlineStr">
        <is>
          <t>V18</t>
        </is>
      </c>
      <c r="B23" s="5" t="n"/>
      <c r="C23" s="5" t="n"/>
      <c r="D23" s="5" t="n"/>
      <c r="E23" s="5" t="n"/>
      <c r="F23" s="5" t="n"/>
      <c r="G23" s="6">
        <f>IF($C23="","",IF(AND($D23&lt;&gt;"",$F23&lt;&gt;""),ROUND(($D23+$F23)/2,3),IF($E23&lt;&gt;"",$E23,"")))</f>
        <v/>
      </c>
      <c r="H23" s="6">
        <f>IF($B23="","",IF($B24="",ROUND(($B23-$B22)/2,3),ROUND(($B24-$B22)/2,3)))</f>
        <v/>
      </c>
      <c r="I23" s="6">
        <f>IF(OR($C23="",$H23=""),"",ROUND($C23*$H23,4))</f>
        <v/>
      </c>
      <c r="J23" s="6">
        <f>IF(OR($I23="",$G23=""),"",ROUND($I23*$G23,4))</f>
        <v/>
      </c>
      <c r="K23" s="6">
        <f>IF(OR($J23="",$B$38=0),"",ROUND($J23/$B$38*100,1))</f>
        <v/>
      </c>
      <c r="L23" s="6">
        <f>IF($C23="","",-$C23)</f>
        <v/>
      </c>
    </row>
    <row r="24">
      <c r="A24" s="4" t="inlineStr">
        <is>
          <t>V19</t>
        </is>
      </c>
      <c r="B24" s="5" t="n"/>
      <c r="C24" s="5" t="n"/>
      <c r="D24" s="5" t="n"/>
      <c r="E24" s="5" t="n"/>
      <c r="F24" s="5" t="n"/>
      <c r="G24" s="6">
        <f>IF($C24="","",IF(AND($D24&lt;&gt;"",$F24&lt;&gt;""),ROUND(($D24+$F24)/2,3),IF($E24&lt;&gt;"",$E24,"")))</f>
        <v/>
      </c>
      <c r="H24" s="6">
        <f>IF($B24="","",IF($B25="",ROUND(($B24-$B23)/2,3),ROUND(($B25-$B23)/2,3)))</f>
        <v/>
      </c>
      <c r="I24" s="6">
        <f>IF(OR($C24="",$H24=""),"",ROUND($C24*$H24,4))</f>
        <v/>
      </c>
      <c r="J24" s="6">
        <f>IF(OR($I24="",$G24=""),"",ROUND($I24*$G24,4))</f>
        <v/>
      </c>
      <c r="K24" s="6">
        <f>IF(OR($J24="",$B$38=0),"",ROUND($J24/$B$38*100,1))</f>
        <v/>
      </c>
      <c r="L24" s="6">
        <f>IF($C24="","",-$C24)</f>
        <v/>
      </c>
    </row>
    <row r="25">
      <c r="A25" s="4" t="inlineStr">
        <is>
          <t>V20</t>
        </is>
      </c>
      <c r="B25" s="5" t="n"/>
      <c r="C25" s="5" t="n"/>
      <c r="D25" s="5" t="n"/>
      <c r="E25" s="5" t="n"/>
      <c r="F25" s="5" t="n"/>
      <c r="G25" s="6">
        <f>IF($C25="","",IF(AND($D25&lt;&gt;"",$F25&lt;&gt;""),ROUND(($D25+$F25)/2,3),IF($E25&lt;&gt;"",$E25,"")))</f>
        <v/>
      </c>
      <c r="H25" s="6">
        <f>IF($B25="","",IF($B26="",ROUND(($B25-$B24)/2,3),ROUND(($B26-$B24)/2,3)))</f>
        <v/>
      </c>
      <c r="I25" s="6">
        <f>IF(OR($C25="",$H25=""),"",ROUND($C25*$H25,4))</f>
        <v/>
      </c>
      <c r="J25" s="6">
        <f>IF(OR($I25="",$G25=""),"",ROUND($I25*$G25,4))</f>
        <v/>
      </c>
      <c r="K25" s="6">
        <f>IF(OR($J25="",$B$38=0),"",ROUND($J25/$B$38*100,1))</f>
        <v/>
      </c>
      <c r="L25" s="6">
        <f>IF($C25="","",-$C25)</f>
        <v/>
      </c>
    </row>
    <row r="26">
      <c r="A26" s="4" t="inlineStr">
        <is>
          <t>V21</t>
        </is>
      </c>
      <c r="B26" s="5" t="n"/>
      <c r="C26" s="5" t="n"/>
      <c r="D26" s="5" t="n"/>
      <c r="E26" s="5" t="n"/>
      <c r="F26" s="5" t="n"/>
      <c r="G26" s="6">
        <f>IF($C26="","",IF(AND($D26&lt;&gt;"",$F26&lt;&gt;""),ROUND(($D26+$F26)/2,3),IF($E26&lt;&gt;"",$E26,"")))</f>
        <v/>
      </c>
      <c r="H26" s="6">
        <f>IF($B26="","",IF($B27="",ROUND(($B26-$B25)/2,3),ROUND(($B27-$B25)/2,3)))</f>
        <v/>
      </c>
      <c r="I26" s="6">
        <f>IF(OR($C26="",$H26=""),"",ROUND($C26*$H26,4))</f>
        <v/>
      </c>
      <c r="J26" s="6">
        <f>IF(OR($I26="",$G26=""),"",ROUND($I26*$G26,4))</f>
        <v/>
      </c>
      <c r="K26" s="6">
        <f>IF(OR($J26="",$B$38=0),"",ROUND($J26/$B$38*100,1))</f>
        <v/>
      </c>
      <c r="L26" s="6">
        <f>IF($C26="","",-$C26)</f>
        <v/>
      </c>
    </row>
    <row r="27">
      <c r="A27" s="4" t="inlineStr">
        <is>
          <t>V22</t>
        </is>
      </c>
      <c r="B27" s="5" t="n"/>
      <c r="C27" s="5" t="n"/>
      <c r="D27" s="5" t="n"/>
      <c r="E27" s="5" t="n"/>
      <c r="F27" s="5" t="n"/>
      <c r="G27" s="6">
        <f>IF($C27="","",IF(AND($D27&lt;&gt;"",$F27&lt;&gt;""),ROUND(($D27+$F27)/2,3),IF($E27&lt;&gt;"",$E27,"")))</f>
        <v/>
      </c>
      <c r="H27" s="6">
        <f>IF($B27="","",IF($B28="",ROUND(($B27-$B26)/2,3),ROUND(($B28-$B26)/2,3)))</f>
        <v/>
      </c>
      <c r="I27" s="6">
        <f>IF(OR($C27="",$H27=""),"",ROUND($C27*$H27,4))</f>
        <v/>
      </c>
      <c r="J27" s="6">
        <f>IF(OR($I27="",$G27=""),"",ROUND($I27*$G27,4))</f>
        <v/>
      </c>
      <c r="K27" s="6">
        <f>IF(OR($J27="",$B$38=0),"",ROUND($J27/$B$38*100,1))</f>
        <v/>
      </c>
      <c r="L27" s="6">
        <f>IF($C27="","",-$C27)</f>
        <v/>
      </c>
    </row>
    <row r="28">
      <c r="A28" s="4" t="inlineStr">
        <is>
          <t>V23</t>
        </is>
      </c>
      <c r="B28" s="5" t="n"/>
      <c r="C28" s="5" t="n"/>
      <c r="D28" s="5" t="n"/>
      <c r="E28" s="5" t="n"/>
      <c r="F28" s="5" t="n"/>
      <c r="G28" s="6">
        <f>IF($C28="","",IF(AND($D28&lt;&gt;"",$F28&lt;&gt;""),ROUND(($D28+$F28)/2,3),IF($E28&lt;&gt;"",$E28,"")))</f>
        <v/>
      </c>
      <c r="H28" s="6">
        <f>IF($B28="","",IF($B29="",ROUND(($B28-$B27)/2,3),ROUND(($B29-$B27)/2,3)))</f>
        <v/>
      </c>
      <c r="I28" s="6">
        <f>IF(OR($C28="",$H28=""),"",ROUND($C28*$H28,4))</f>
        <v/>
      </c>
      <c r="J28" s="6">
        <f>IF(OR($I28="",$G28=""),"",ROUND($I28*$G28,4))</f>
        <v/>
      </c>
      <c r="K28" s="6">
        <f>IF(OR($J28="",$B$38=0),"",ROUND($J28/$B$38*100,1))</f>
        <v/>
      </c>
      <c r="L28" s="6">
        <f>IF($C28="","",-$C28)</f>
        <v/>
      </c>
    </row>
    <row r="29">
      <c r="A29" s="4" t="inlineStr">
        <is>
          <t>V24</t>
        </is>
      </c>
      <c r="B29" s="5" t="n"/>
      <c r="C29" s="5" t="n"/>
      <c r="D29" s="5" t="n"/>
      <c r="E29" s="5" t="n"/>
      <c r="F29" s="5" t="n"/>
      <c r="G29" s="6">
        <f>IF($C29="","",IF(AND($D29&lt;&gt;"",$F29&lt;&gt;""),ROUND(($D29+$F29)/2,3),IF($E29&lt;&gt;"",$E29,"")))</f>
        <v/>
      </c>
      <c r="H29" s="6">
        <f>IF($B29="","",IF($B30="",ROUND(($B29-$B28)/2,3),ROUND(($B30-$B28)/2,3)))</f>
        <v/>
      </c>
      <c r="I29" s="6">
        <f>IF(OR($C29="",$H29=""),"",ROUND($C29*$H29,4))</f>
        <v/>
      </c>
      <c r="J29" s="6">
        <f>IF(OR($I29="",$G29=""),"",ROUND($I29*$G29,4))</f>
        <v/>
      </c>
      <c r="K29" s="6">
        <f>IF(OR($J29="",$B$38=0),"",ROUND($J29/$B$38*100,1))</f>
        <v/>
      </c>
      <c r="L29" s="6">
        <f>IF($C29="","",-$C29)</f>
        <v/>
      </c>
    </row>
    <row r="30">
      <c r="A30" s="4" t="inlineStr">
        <is>
          <t>V25</t>
        </is>
      </c>
      <c r="B30" s="5" t="n"/>
      <c r="C30" s="5" t="n"/>
      <c r="D30" s="5" t="n"/>
      <c r="E30" s="5" t="n"/>
      <c r="F30" s="5" t="n"/>
      <c r="G30" s="6">
        <f>IF($C30="","",IF(AND($D30&lt;&gt;"",$F30&lt;&gt;""),ROUND(($D30+$F30)/2,3),IF($E30&lt;&gt;"",$E30,"")))</f>
        <v/>
      </c>
      <c r="H30" s="6">
        <f>IF($B30="","",IF($B31="",ROUND(($B30-$B29)/2,3),ROUND(($B31-$B29)/2,3)))</f>
        <v/>
      </c>
      <c r="I30" s="6">
        <f>IF(OR($C30="",$H30=""),"",ROUND($C30*$H30,4))</f>
        <v/>
      </c>
      <c r="J30" s="6">
        <f>IF(OR($I30="",$G30=""),"",ROUND($I30*$G30,4))</f>
        <v/>
      </c>
      <c r="K30" s="6">
        <f>IF(OR($J30="",$B$38=0),"",ROUND($J30/$B$38*100,1))</f>
        <v/>
      </c>
      <c r="L30" s="6">
        <f>IF($C30="","",-$C30)</f>
        <v/>
      </c>
    </row>
    <row r="31">
      <c r="A31" s="4" t="inlineStr">
        <is>
          <t>V26</t>
        </is>
      </c>
      <c r="B31" s="5" t="n"/>
      <c r="C31" s="5" t="n"/>
      <c r="D31" s="5" t="n"/>
      <c r="E31" s="5" t="n"/>
      <c r="F31" s="5" t="n"/>
      <c r="G31" s="6">
        <f>IF($C31="","",IF(AND($D31&lt;&gt;"",$F31&lt;&gt;""),ROUND(($D31+$F31)/2,3),IF($E31&lt;&gt;"",$E31,"")))</f>
        <v/>
      </c>
      <c r="H31" s="6">
        <f>IF($B31="","",IF($B32="",ROUND(($B31-$B30)/2,3),ROUND(($B32-$B30)/2,3)))</f>
        <v/>
      </c>
      <c r="I31" s="6">
        <f>IF(OR($C31="",$H31=""),"",ROUND($C31*$H31,4))</f>
        <v/>
      </c>
      <c r="J31" s="6">
        <f>IF(OR($I31="",$G31=""),"",ROUND($I31*$G31,4))</f>
        <v/>
      </c>
      <c r="K31" s="6">
        <f>IF(OR($J31="",$B$38=0),"",ROUND($J31/$B$38*100,1))</f>
        <v/>
      </c>
      <c r="L31" s="6">
        <f>IF($C31="","",-$C31)</f>
        <v/>
      </c>
    </row>
    <row r="32">
      <c r="A32" s="4" t="inlineStr">
        <is>
          <t>V27</t>
        </is>
      </c>
      <c r="B32" s="5" t="n"/>
      <c r="C32" s="5" t="n"/>
      <c r="D32" s="5" t="n"/>
      <c r="E32" s="5" t="n"/>
      <c r="F32" s="5" t="n"/>
      <c r="G32" s="6">
        <f>IF($C32="","",IF(AND($D32&lt;&gt;"",$F32&lt;&gt;""),ROUND(($D32+$F32)/2,3),IF($E32&lt;&gt;"",$E32,"")))</f>
        <v/>
      </c>
      <c r="H32" s="6">
        <f>IF($B32="","",IF($B33="",ROUND(($B32-$B31)/2,3),ROUND(($B33-$B31)/2,3)))</f>
        <v/>
      </c>
      <c r="I32" s="6">
        <f>IF(OR($C32="",$H32=""),"",ROUND($C32*$H32,4))</f>
        <v/>
      </c>
      <c r="J32" s="6">
        <f>IF(OR($I32="",$G32=""),"",ROUND($I32*$G32,4))</f>
        <v/>
      </c>
      <c r="K32" s="6">
        <f>IF(OR($J32="",$B$38=0),"",ROUND($J32/$B$38*100,1))</f>
        <v/>
      </c>
      <c r="L32" s="6">
        <f>IF($C32="","",-$C32)</f>
        <v/>
      </c>
    </row>
    <row r="33">
      <c r="A33" s="4" t="inlineStr">
        <is>
          <t>V28</t>
        </is>
      </c>
      <c r="B33" s="5" t="n"/>
      <c r="C33" s="5" t="n"/>
      <c r="D33" s="5" t="n"/>
      <c r="E33" s="5" t="n"/>
      <c r="F33" s="5" t="n"/>
      <c r="G33" s="6">
        <f>IF($C33="","",IF(AND($D33&lt;&gt;"",$F33&lt;&gt;""),ROUND(($D33+$F33)/2,3),IF($E33&lt;&gt;"",$E33,"")))</f>
        <v/>
      </c>
      <c r="H33" s="6">
        <f>IF($B33="","",IF($B34="",ROUND(($B33-$B32)/2,3),ROUND(($B34-$B32)/2,3)))</f>
        <v/>
      </c>
      <c r="I33" s="6">
        <f>IF(OR($C33="",$H33=""),"",ROUND($C33*$H33,4))</f>
        <v/>
      </c>
      <c r="J33" s="6">
        <f>IF(OR($I33="",$G33=""),"",ROUND($I33*$G33,4))</f>
        <v/>
      </c>
      <c r="K33" s="6">
        <f>IF(OR($J33="",$B$38=0),"",ROUND($J33/$B$38*100,1))</f>
        <v/>
      </c>
      <c r="L33" s="6">
        <f>IF($C33="","",-$C33)</f>
        <v/>
      </c>
    </row>
    <row r="34">
      <c r="A34" s="4" t="inlineStr">
        <is>
          <t>V29</t>
        </is>
      </c>
      <c r="B34" s="5" t="n"/>
      <c r="C34" s="5" t="n"/>
      <c r="D34" s="5" t="n"/>
      <c r="E34" s="5" t="n"/>
      <c r="F34" s="5" t="n"/>
      <c r="G34" s="6">
        <f>IF($C34="","",IF(AND($D34&lt;&gt;"",$F34&lt;&gt;""),ROUND(($D34+$F34)/2,3),IF($E34&lt;&gt;"",$E34,"")))</f>
        <v/>
      </c>
      <c r="H34" s="6">
        <f>IF($B34="","",IF($B35="",ROUND(($B34-$B33)/2,3),ROUND(($B35-$B33)/2,3)))</f>
        <v/>
      </c>
      <c r="I34" s="6">
        <f>IF(OR($C34="",$H34=""),"",ROUND($C34*$H34,4))</f>
        <v/>
      </c>
      <c r="J34" s="6">
        <f>IF(OR($I34="",$G34=""),"",ROUND($I34*$G34,4))</f>
        <v/>
      </c>
      <c r="K34" s="6">
        <f>IF(OR($J34="",$B$38=0),"",ROUND($J34/$B$38*100,1))</f>
        <v/>
      </c>
      <c r="L34" s="6">
        <f>IF($C34="","",-$C34)</f>
        <v/>
      </c>
    </row>
    <row r="35">
      <c r="A35" s="4" t="inlineStr">
        <is>
          <t>V30</t>
        </is>
      </c>
      <c r="B35" s="5" t="n"/>
      <c r="C35" s="5" t="n"/>
      <c r="D35" s="5" t="n"/>
      <c r="E35" s="5" t="n"/>
      <c r="F35" s="5" t="n"/>
      <c r="G35" s="6">
        <f>IF($C35="","",IF(AND($D35&lt;&gt;"",$F35&lt;&gt;""),ROUND(($D35+$F35)/2,3),IF($E35&lt;&gt;"",$E35,"")))</f>
        <v/>
      </c>
      <c r="H35" s="6">
        <f>IF($B35="","",IF($B36="",ROUND(($B35-$B34)/2,3),ROUND(($B36-$B34)/2,3)))</f>
        <v/>
      </c>
      <c r="I35" s="6">
        <f>IF(OR($C35="",$H35=""),"",ROUND($C35*$H35,4))</f>
        <v/>
      </c>
      <c r="J35" s="6">
        <f>IF(OR($I35="",$G35=""),"",ROUND($I35*$G35,4))</f>
        <v/>
      </c>
      <c r="K35" s="6">
        <f>IF(OR($J35="",$B$38=0),"",ROUND($J35/$B$38*100,1))</f>
        <v/>
      </c>
      <c r="L35" s="6">
        <f>IF($C35="","",-$C35)</f>
        <v/>
      </c>
    </row>
    <row r="37">
      <c r="A37" s="7" t="inlineStr">
        <is>
          <t>Resultados del aforo</t>
        </is>
      </c>
    </row>
    <row r="38">
      <c r="A38" s="7" t="inlineStr">
        <is>
          <t>Caudal total</t>
        </is>
      </c>
      <c r="B38" s="8">
        <f>ROUND(SUM(J6:J35),4)</f>
        <v/>
      </c>
      <c r="C38" s="2" t="inlineStr">
        <is>
          <t>m³/s</t>
        </is>
      </c>
    </row>
    <row r="39">
      <c r="A39" s="7" t="inlineStr">
        <is>
          <t>Caudal total</t>
        </is>
      </c>
      <c r="B39" s="8">
        <f>ROUND(B38*1000,1)</f>
        <v/>
      </c>
      <c r="C39" s="2" t="inlineStr">
        <is>
          <t>L/s</t>
        </is>
      </c>
    </row>
    <row r="40">
      <c r="A40" s="7" t="inlineStr">
        <is>
          <t>Área total de la sección</t>
        </is>
      </c>
      <c r="B40" s="8">
        <f>ROUND(SUM(I6:I35),3)</f>
        <v/>
      </c>
      <c r="C40" s="2" t="inlineStr">
        <is>
          <t>m²</t>
        </is>
      </c>
    </row>
    <row r="41">
      <c r="A41" s="7" t="inlineStr">
        <is>
          <t>Velocidad media de la sección</t>
        </is>
      </c>
      <c r="B41" s="8">
        <f>IF(B40=0,"",ROUND(B38/B40,3))</f>
        <v/>
      </c>
      <c r="C41" s="2" t="inlineStr">
        <is>
          <t>m/s</t>
        </is>
      </c>
    </row>
    <row r="42">
      <c r="A42" s="7" t="inlineStr">
        <is>
          <t>Ancho total del cauce</t>
        </is>
      </c>
      <c r="B42" s="8">
        <f>IF(COUNT(B6:B35)=0,"",ROUND(MAX(B6:B35)-MIN(B6:B35),2))</f>
        <v/>
      </c>
      <c r="C42" s="2" t="inlineStr">
        <is>
          <t>m</t>
        </is>
      </c>
    </row>
    <row r="43">
      <c r="A43" s="7" t="inlineStr">
        <is>
          <t>Profundidad media</t>
        </is>
      </c>
      <c r="B43" s="8">
        <f>IF(N(B42)=0,"",ROUND(B40/N(B42),3))</f>
        <v/>
      </c>
      <c r="C43" s="2" t="inlineStr">
        <is>
          <t>m</t>
        </is>
      </c>
    </row>
    <row r="44">
      <c r="A44" s="7" t="inlineStr">
        <is>
          <t>N.º de verticales medidas</t>
        </is>
      </c>
      <c r="B44" s="8">
        <f>COUNT(C6:C35)</f>
        <v/>
      </c>
      <c r="C44" s="2" t="inlineStr"/>
    </row>
    <row r="45">
      <c r="A45" s="9" t="inlineStr">
        <is>
          <t>ISO 748 recomienda al menos 20 verticales y que ninguna aporte más del 10 % del caudal total: las que lo superen quedan marcadas en ámbar. Si eso ocurre, densifica las verticales en esa zona.</t>
        </is>
      </c>
    </row>
  </sheetData>
  <mergeCells count="1">
    <mergeCell ref="A45:F45"/>
  </mergeCells>
  <conditionalFormatting sqref="K6:K35">
    <cfRule type="expression" priority="1" dxfId="0">
      <formula>AND(ISNUMBER($K6),$K6&gt;10)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0" customWidth="1" min="3" max="3"/>
    <col width="62" customWidth="1" min="4" max="4"/>
  </cols>
  <sheetData>
    <row r="1">
      <c r="A1" s="1" t="inlineStr">
        <is>
          <t>MÉTODO DEL FLOTADOR Y MÉTODO VOLUMÉTRICO</t>
        </is>
      </c>
    </row>
    <row r="2">
      <c r="A2" s="2" t="inlineStr">
        <is>
          <t>El flotador es un método de estimación: úsalo cuando no hay correntómetro y decláralo como tal en el informe. El volumétrico es el más exacto, pero solo sirve en caudales pequeños.</t>
        </is>
      </c>
    </row>
    <row r="4">
      <c r="A4" s="7" t="inlineStr">
        <is>
          <t>A · Método del flotador</t>
        </is>
      </c>
    </row>
    <row r="5">
      <c r="A5" s="7" t="inlineStr">
        <is>
          <t>Longitud del tramo</t>
        </is>
      </c>
      <c r="B5" s="10" t="n">
        <v>10</v>
      </c>
      <c r="C5" s="2" t="inlineStr">
        <is>
          <t>m</t>
        </is>
      </c>
      <c r="D5" s="9" t="inlineStr">
        <is>
          <t>Recto y de sección uniforme; mínimo 10 m.</t>
        </is>
      </c>
    </row>
    <row r="6">
      <c r="A6" s="7" t="inlineStr">
        <is>
          <t>Tiempo 1</t>
        </is>
      </c>
      <c r="B6" s="10" t="n"/>
      <c r="C6" s="2" t="inlineStr">
        <is>
          <t>s</t>
        </is>
      </c>
      <c r="D6" s="9" t="inlineStr">
        <is>
          <t>Tiempo que tarda el flotador en recorrer el tramo.</t>
        </is>
      </c>
    </row>
    <row r="7">
      <c r="A7" s="7" t="inlineStr">
        <is>
          <t>Tiempo 2</t>
        </is>
      </c>
      <c r="B7" s="10" t="n"/>
      <c r="C7" s="2" t="inlineStr">
        <is>
          <t>s</t>
        </is>
      </c>
    </row>
    <row r="8">
      <c r="A8" s="7" t="inlineStr">
        <is>
          <t>Tiempo 3</t>
        </is>
      </c>
      <c r="B8" s="10" t="n"/>
      <c r="C8" s="2" t="inlineStr">
        <is>
          <t>s</t>
        </is>
      </c>
      <c r="D8" s="9" t="inlineStr">
        <is>
          <t>Mínimo tres repeticiones; se promedian.</t>
        </is>
      </c>
    </row>
    <row r="9">
      <c r="A9" s="7" t="inlineStr">
        <is>
          <t>Ancho del espejo de agua</t>
        </is>
      </c>
      <c r="B9" s="10" t="n"/>
      <c r="C9" s="2" t="inlineStr">
        <is>
          <t>m</t>
        </is>
      </c>
    </row>
    <row r="10">
      <c r="A10" s="7" t="inlineStr">
        <is>
          <t>Profundidad media</t>
        </is>
      </c>
      <c r="B10" s="10" t="n"/>
      <c r="C10" s="2" t="inlineStr">
        <is>
          <t>m</t>
        </is>
      </c>
      <c r="D10" s="9" t="inlineStr">
        <is>
          <t>Promedio de al menos cinco lecturas en la sección.</t>
        </is>
      </c>
    </row>
    <row r="11">
      <c r="A11" s="7" t="inlineStr">
        <is>
          <t>Coeficiente de corrección</t>
        </is>
      </c>
      <c r="B11" s="10" t="n">
        <v>0.85</v>
      </c>
      <c r="C11" s="2" t="inlineStr"/>
      <c r="D11" s="9" t="inlineStr">
        <is>
          <t>Relaciona la velocidad superficial con la media: 0,85 en cauce natural de fondo irregular; 0,90 en canal revestido y liso.</t>
        </is>
      </c>
    </row>
    <row r="13">
      <c r="A13" s="7" t="inlineStr">
        <is>
          <t>Tiempo promedio</t>
        </is>
      </c>
      <c r="B13" s="8">
        <f>IF(COUNT(B6:B8)=0,"",ROUND(AVERAGE(B6:B8),2))</f>
        <v/>
      </c>
      <c r="C13" s="2" t="inlineStr">
        <is>
          <t>s</t>
        </is>
      </c>
    </row>
    <row r="14">
      <c r="A14" s="7" t="inlineStr">
        <is>
          <t>Velocidad superficial</t>
        </is>
      </c>
      <c r="B14" s="8">
        <f>IF(OR(B13="",B13=0),"",ROUND(B5/B13,3))</f>
        <v/>
      </c>
      <c r="C14" s="2" t="inlineStr">
        <is>
          <t>m/s</t>
        </is>
      </c>
    </row>
    <row r="15">
      <c r="A15" s="7" t="inlineStr">
        <is>
          <t>Velocidad media corregida</t>
        </is>
      </c>
      <c r="B15" s="8">
        <f>IF(B14="","",ROUND(B14*B11,3))</f>
        <v/>
      </c>
      <c r="C15" s="2" t="inlineStr">
        <is>
          <t>m/s</t>
        </is>
      </c>
    </row>
    <row r="16">
      <c r="A16" s="7" t="inlineStr">
        <is>
          <t>Área de la sección</t>
        </is>
      </c>
      <c r="B16" s="8">
        <f>IF(OR(B9="",B10=""),"",ROUND(B9*B10,3))</f>
        <v/>
      </c>
      <c r="C16" s="2" t="inlineStr">
        <is>
          <t>m²</t>
        </is>
      </c>
    </row>
    <row r="17">
      <c r="A17" s="7" t="inlineStr">
        <is>
          <t>Caudal estimado</t>
        </is>
      </c>
      <c r="B17" s="8">
        <f>IF(OR(B15="",B16=""),"",ROUND(B15*B16,4))</f>
        <v/>
      </c>
      <c r="C17" s="2" t="inlineStr">
        <is>
          <t>m³/s</t>
        </is>
      </c>
    </row>
    <row r="18">
      <c r="A18" s="7" t="inlineStr">
        <is>
          <t>Caudal estimado</t>
        </is>
      </c>
      <c r="B18" s="8">
        <f>IF(B17="","",ROUND(B17*1000,1))</f>
        <v/>
      </c>
      <c r="C18" s="2" t="inlineStr">
        <is>
          <t>L/s</t>
        </is>
      </c>
    </row>
    <row r="21">
      <c r="A21" s="7" t="inlineStr">
        <is>
          <t>B · Método volumétrico</t>
        </is>
      </c>
    </row>
    <row r="22">
      <c r="A22" s="2" t="inlineStr">
        <is>
          <t>Para descargas pequeñas y caída libre: manantiales, vertimientos, salidas de tubería.</t>
        </is>
      </c>
    </row>
    <row r="23">
      <c r="A23" s="7" t="inlineStr">
        <is>
          <t>Volumen del recipiente</t>
        </is>
      </c>
      <c r="B23" s="10" t="n">
        <v>20</v>
      </c>
      <c r="C23" s="2" t="inlineStr">
        <is>
          <t>L</t>
        </is>
      </c>
      <c r="D23" s="9" t="inlineStr">
        <is>
          <t>Balde o probeta de volumen conocido.</t>
        </is>
      </c>
    </row>
    <row r="24">
      <c r="A24" s="7" t="inlineStr">
        <is>
          <t>Tiempo de llenado 1</t>
        </is>
      </c>
      <c r="B24" s="10" t="n"/>
      <c r="C24" s="2" t="inlineStr">
        <is>
          <t>s</t>
        </is>
      </c>
    </row>
    <row r="25">
      <c r="A25" s="7" t="inlineStr">
        <is>
          <t>Tiempo de llenado 2</t>
        </is>
      </c>
      <c r="B25" s="10" t="n"/>
      <c r="C25" s="2" t="inlineStr">
        <is>
          <t>s</t>
        </is>
      </c>
    </row>
    <row r="26">
      <c r="A26" s="7" t="inlineStr">
        <is>
          <t>Tiempo de llenado 3</t>
        </is>
      </c>
      <c r="B26" s="10" t="n"/>
      <c r="C26" s="2" t="inlineStr">
        <is>
          <t>s</t>
        </is>
      </c>
    </row>
    <row r="27">
      <c r="A27" s="7" t="inlineStr">
        <is>
          <t>Tiempo de llenado 4</t>
        </is>
      </c>
      <c r="B27" s="10" t="n"/>
      <c r="C27" s="2" t="inlineStr">
        <is>
          <t>s</t>
        </is>
      </c>
    </row>
    <row r="28">
      <c r="A28" s="7" t="inlineStr">
        <is>
          <t>Tiempo de llenado 5</t>
        </is>
      </c>
      <c r="B28" s="10" t="n"/>
      <c r="C28" s="2" t="inlineStr">
        <is>
          <t>s</t>
        </is>
      </c>
      <c r="D28" s="9" t="inlineStr">
        <is>
          <t>Cinco repeticiones; si una se desvía mucho, se repite.</t>
        </is>
      </c>
    </row>
    <row r="30">
      <c r="A30" s="7" t="inlineStr">
        <is>
          <t>Tiempo promedio</t>
        </is>
      </c>
      <c r="B30" s="8">
        <f>IF(COUNT(B24:B28)=0,"",ROUND(AVERAGE(B24:B28),2))</f>
        <v/>
      </c>
      <c r="C30" s="2" t="inlineStr">
        <is>
          <t>s</t>
        </is>
      </c>
    </row>
    <row r="31">
      <c r="A31" s="7" t="inlineStr">
        <is>
          <t>Desviación estándar</t>
        </is>
      </c>
      <c r="B31" s="8">
        <f>IF(COUNT(B24:B28)&lt;2,"",ROUND(STDEV(B24:B28),3))</f>
        <v/>
      </c>
      <c r="C31" s="2" t="inlineStr">
        <is>
          <t>s</t>
        </is>
      </c>
    </row>
    <row r="32">
      <c r="A32" s="7" t="inlineStr">
        <is>
          <t>Caudal</t>
        </is>
      </c>
      <c r="B32" s="8">
        <f>IF(OR(B30="",B30=0),"",ROUND(B23/B30,3))</f>
        <v/>
      </c>
      <c r="C32" s="2" t="inlineStr">
        <is>
          <t>L/s</t>
        </is>
      </c>
    </row>
    <row r="33">
      <c r="A33" s="7" t="inlineStr">
        <is>
          <t>Caudal</t>
        </is>
      </c>
      <c r="B33" s="8">
        <f>IF(B32="","",ROUND(B32/1000,5))</f>
        <v/>
      </c>
      <c r="C33" s="2" t="inlineStr">
        <is>
          <t>m³/s</t>
        </is>
      </c>
    </row>
    <row r="35">
      <c r="A35" s="9" t="inlineStr">
        <is>
          <t>Si la desviación estándar supera el 5 % del tiempo promedio, la medición es inestable: repite la serie y revisa que el recipiente se llene siempre igual.</t>
        </is>
      </c>
    </row>
  </sheetData>
  <mergeCells count="1">
    <mergeCell ref="A35:D3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0" customWidth="1" min="3" max="3"/>
    <col width="60" customWidth="1" min="4" max="4"/>
    <col width="13" customWidth="1" min="6" max="6"/>
    <col width="13" customWidth="1" min="7" max="7"/>
  </cols>
  <sheetData>
    <row r="1">
      <c r="A1" s="1" t="inlineStr">
        <is>
          <t>VERTEDEROS DE AFORO</t>
        </is>
      </c>
    </row>
    <row r="2">
      <c r="A2" s="2" t="inlineStr">
        <is>
          <t>Estructura de sección conocida instalada en el canal: se mide solo la carga H sobre la cresta. H se mide aguas arriba de la cresta, a una distancia de 4 a 5 veces H.</t>
        </is>
      </c>
    </row>
    <row r="4">
      <c r="A4" s="7" t="inlineStr">
        <is>
          <t>A · Vertedero triangular de 90° (Thomson)</t>
        </is>
      </c>
      <c r="D4" s="2" t="inlineStr">
        <is>
          <t>Q = 1,4 · H^2,5   ·   El más preciso para caudales pequeños (H entre 0,05 y 0,60 m).</t>
        </is>
      </c>
      <c r="F4" s="7" t="inlineStr">
        <is>
          <t>Curva de descarga · triangular 90°</t>
        </is>
      </c>
    </row>
    <row r="5">
      <c r="A5" s="7" t="inlineStr">
        <is>
          <t>Carga H sobre el vértice</t>
        </is>
      </c>
      <c r="B5" s="10" t="n"/>
      <c r="C5" s="2" t="inlineStr">
        <is>
          <t>m</t>
        </is>
      </c>
      <c r="F5" s="11" t="inlineStr">
        <is>
          <t>Carga H (m)</t>
        </is>
      </c>
      <c r="G5" s="11" t="inlineStr">
        <is>
          <t>Caudal (L/s)</t>
        </is>
      </c>
    </row>
    <row r="6">
      <c r="A6" s="7" t="inlineStr">
        <is>
          <t>Caudal</t>
        </is>
      </c>
      <c r="B6" s="8">
        <f>IF(B5="","",ROUND(1.4*B5^2.5,5))</f>
        <v/>
      </c>
      <c r="C6" s="2" t="inlineStr">
        <is>
          <t>m³/s</t>
        </is>
      </c>
      <c r="F6" s="6" t="n">
        <v>0.05</v>
      </c>
      <c r="G6" s="6">
        <f>ROUND(1.4*F6^2.5*1000,2)</f>
        <v/>
      </c>
    </row>
    <row r="7">
      <c r="A7" s="7" t="inlineStr">
        <is>
          <t>Caudal</t>
        </is>
      </c>
      <c r="B7" s="8">
        <f>IF(B6="","",ROUND(B6*1000,2))</f>
        <v/>
      </c>
      <c r="C7" s="2" t="inlineStr">
        <is>
          <t>L/s</t>
        </is>
      </c>
      <c r="F7" s="6" t="n">
        <v>0.09</v>
      </c>
      <c r="G7" s="6">
        <f>ROUND(1.4*F7^2.5*1000,2)</f>
        <v/>
      </c>
    </row>
    <row r="8">
      <c r="F8" s="6" t="n">
        <v>0.13</v>
      </c>
      <c r="G8" s="6">
        <f>ROUND(1.4*F8^2.5*1000,2)</f>
        <v/>
      </c>
    </row>
    <row r="9">
      <c r="A9" s="7" t="inlineStr">
        <is>
          <t>B · Vertedero rectangular sin contracciones (Francis)</t>
        </is>
      </c>
      <c r="D9" s="2" t="inlineStr">
        <is>
          <t>Q = 1,84 · L · H^1,5</t>
        </is>
      </c>
      <c r="F9" s="6" t="n">
        <v>0.17</v>
      </c>
      <c r="G9" s="6">
        <f>ROUND(1.4*F9^2.5*1000,2)</f>
        <v/>
      </c>
    </row>
    <row r="10">
      <c r="A10" s="7" t="inlineStr">
        <is>
          <t>Longitud de cresta L</t>
        </is>
      </c>
      <c r="B10" s="10" t="n"/>
      <c r="C10" s="2" t="inlineStr">
        <is>
          <t>m</t>
        </is>
      </c>
      <c r="F10" s="6" t="n">
        <v>0.21</v>
      </c>
      <c r="G10" s="6">
        <f>ROUND(1.4*F10^2.5*1000,2)</f>
        <v/>
      </c>
    </row>
    <row r="11">
      <c r="A11" s="7" t="inlineStr">
        <is>
          <t>Carga H</t>
        </is>
      </c>
      <c r="B11" s="10" t="n"/>
      <c r="C11" s="2" t="inlineStr">
        <is>
          <t>m</t>
        </is>
      </c>
      <c r="F11" s="6" t="n">
        <v>0.25</v>
      </c>
      <c r="G11" s="6">
        <f>ROUND(1.4*F11^2.5*1000,2)</f>
        <v/>
      </c>
    </row>
    <row r="12">
      <c r="A12" s="7" t="inlineStr">
        <is>
          <t>Caudal</t>
        </is>
      </c>
      <c r="B12" s="8">
        <f>IF(OR(B10="",B11=""),"",ROUND(1.84*B10*B11^1.5,5))</f>
        <v/>
      </c>
      <c r="C12" s="2" t="inlineStr">
        <is>
          <t>m³/s</t>
        </is>
      </c>
      <c r="F12" s="6" t="n">
        <v>0.29</v>
      </c>
      <c r="G12" s="6">
        <f>ROUND(1.4*F12^2.5*1000,2)</f>
        <v/>
      </c>
    </row>
    <row r="13">
      <c r="A13" s="7" t="inlineStr">
        <is>
          <t>Caudal</t>
        </is>
      </c>
      <c r="B13" s="8">
        <f>IF(B12="","",ROUND(B12*1000,2))</f>
        <v/>
      </c>
      <c r="C13" s="2" t="inlineStr">
        <is>
          <t>L/s</t>
        </is>
      </c>
      <c r="F13" s="6" t="n">
        <v>0.33</v>
      </c>
      <c r="G13" s="6">
        <f>ROUND(1.4*F13^2.5*1000,2)</f>
        <v/>
      </c>
    </row>
    <row r="14">
      <c r="F14" s="6" t="n">
        <v>0.37</v>
      </c>
      <c r="G14" s="6">
        <f>ROUND(1.4*F14^2.5*1000,2)</f>
        <v/>
      </c>
    </row>
    <row r="15">
      <c r="A15" s="7" t="inlineStr">
        <is>
          <t>C · Vertedero rectangular con dos contracciones laterales</t>
        </is>
      </c>
      <c r="D15" s="2" t="inlineStr">
        <is>
          <t>Q = 1,84 · (L − 0,2·H) · H^1,5   ·   La cresta efectiva se reduce por las contracciones.</t>
        </is>
      </c>
      <c r="F15" s="6" t="n">
        <v>0.41</v>
      </c>
      <c r="G15" s="6">
        <f>ROUND(1.4*F15^2.5*1000,2)</f>
        <v/>
      </c>
    </row>
    <row r="16">
      <c r="A16" s="7" t="inlineStr">
        <is>
          <t>Longitud de cresta L</t>
        </is>
      </c>
      <c r="B16" s="10" t="n"/>
      <c r="C16" s="2" t="inlineStr">
        <is>
          <t>m</t>
        </is>
      </c>
      <c r="F16" s="6" t="n">
        <v>0.45</v>
      </c>
      <c r="G16" s="6">
        <f>ROUND(1.4*F16^2.5*1000,2)</f>
        <v/>
      </c>
    </row>
    <row r="17">
      <c r="A17" s="7" t="inlineStr">
        <is>
          <t>Carga H</t>
        </is>
      </c>
      <c r="B17" s="10" t="n"/>
      <c r="C17" s="2" t="inlineStr">
        <is>
          <t>m</t>
        </is>
      </c>
      <c r="F17" s="6" t="n">
        <v>0.49</v>
      </c>
      <c r="G17" s="6">
        <f>ROUND(1.4*F17^2.5*1000,2)</f>
        <v/>
      </c>
    </row>
    <row r="18">
      <c r="A18" s="7" t="inlineStr">
        <is>
          <t>Longitud efectiva</t>
        </is>
      </c>
      <c r="B18" s="8">
        <f>IF(OR(B16="",B17=""),"",ROUND(B16-0.2*B17,4))</f>
        <v/>
      </c>
      <c r="C18" s="2" t="inlineStr">
        <is>
          <t>m</t>
        </is>
      </c>
      <c r="F18" s="6" t="n">
        <v>0.53</v>
      </c>
      <c r="G18" s="6">
        <f>ROUND(1.4*F18^2.5*1000,2)</f>
        <v/>
      </c>
    </row>
    <row r="19">
      <c r="A19" s="7" t="inlineStr">
        <is>
          <t>Caudal</t>
        </is>
      </c>
      <c r="B19" s="8">
        <f>IF(B18="","",ROUND(1.84*B18*B17^1.5,5))</f>
        <v/>
      </c>
      <c r="C19" s="2" t="inlineStr">
        <is>
          <t>m³/s</t>
        </is>
      </c>
      <c r="F19" s="6" t="n">
        <v>0.57</v>
      </c>
      <c r="G19" s="6">
        <f>ROUND(1.4*F19^2.5*1000,2)</f>
        <v/>
      </c>
    </row>
    <row r="20">
      <c r="A20" s="7" t="inlineStr">
        <is>
          <t>Caudal</t>
        </is>
      </c>
      <c r="B20" s="8">
        <f>IF(B19="","",ROUND(B19*1000,2))</f>
        <v/>
      </c>
      <c r="C20" s="2" t="inlineStr">
        <is>
          <t>L/s</t>
        </is>
      </c>
      <c r="F20" s="6" t="n">
        <v>0.61</v>
      </c>
      <c r="G20" s="6">
        <f>ROUND(1.4*F20^2.5*1000,2)</f>
        <v/>
      </c>
    </row>
    <row r="22">
      <c r="A22" s="7" t="inlineStr">
        <is>
          <t>D · Vertedero trapezoidal Cipolletti</t>
        </is>
      </c>
      <c r="D22" s="2" t="inlineStr">
        <is>
          <t>Q = 1,859 · L · H^1,5   ·   Taludes 1:4; compensa las contracciones, no hay que corregir L.</t>
        </is>
      </c>
    </row>
    <row r="23">
      <c r="A23" s="7" t="inlineStr">
        <is>
          <t>Longitud de cresta L</t>
        </is>
      </c>
      <c r="B23" s="10" t="n"/>
      <c r="C23" s="2" t="inlineStr">
        <is>
          <t>m</t>
        </is>
      </c>
    </row>
    <row r="24">
      <c r="A24" s="7" t="inlineStr">
        <is>
          <t>Carga H</t>
        </is>
      </c>
      <c r="B24" s="10" t="n"/>
      <c r="C24" s="2" t="inlineStr">
        <is>
          <t>m</t>
        </is>
      </c>
    </row>
    <row r="25">
      <c r="A25" s="7" t="inlineStr">
        <is>
          <t>Caudal</t>
        </is>
      </c>
      <c r="B25" s="8">
        <f>IF(OR(B23="",B24=""),"",ROUND(1.859*B23*B24^1.5,5))</f>
        <v/>
      </c>
      <c r="C25" s="2" t="inlineStr">
        <is>
          <t>m³/s</t>
        </is>
      </c>
    </row>
    <row r="26">
      <c r="A26" s="7" t="inlineStr">
        <is>
          <t>Caudal</t>
        </is>
      </c>
      <c r="B26" s="8">
        <f>IF(B25="","",ROUND(B25*1000,2))</f>
        <v/>
      </c>
      <c r="C26" s="2" t="inlineStr">
        <is>
          <t>L/s</t>
        </is>
      </c>
    </row>
    <row r="28">
      <c r="A28" s="9" t="inlineStr">
        <is>
          <t>Condiciones de validez: el vertedero debe descargar libremente (lámina ventilada, sin ahogamiento), la cresta debe estar limpia y a nivel, y el agua debe llegar sin turbulencia. Si la lámina se pega a la estructura o el nivel de aguas abajo alcanza la cresta, la fórmula deja de ser válida.</t>
        </is>
      </c>
    </row>
  </sheetData>
  <mergeCells count="1">
    <mergeCell ref="A28:G2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0" customWidth="1" min="3" max="3"/>
    <col width="58" customWidth="1" min="4" max="4"/>
    <col width="13" customWidth="1" min="6" max="6"/>
    <col width="12" customWidth="1" min="7" max="7"/>
    <col width="14" customWidth="1" min="8" max="8"/>
  </cols>
  <sheetData>
    <row r="1">
      <c r="A1" s="1" t="inlineStr">
        <is>
          <t>CAUDAL EN CANALES · ECUACIÓN DE MANNING</t>
        </is>
      </c>
    </row>
    <row r="2">
      <c r="A2" s="2" t="inlineStr">
        <is>
          <t>V = (1/n) · R^(2/3) · S^(1/2)   ·   Q = V · A. Para sección trapezoidal; con talud z = 0 la sección es rectangular. Sirve para flujo uniforme en canales, no para ríos con sección irregular.</t>
        </is>
      </c>
    </row>
    <row r="4">
      <c r="A4" s="7" t="inlineStr">
        <is>
          <t>Ancho de solera b</t>
        </is>
      </c>
      <c r="B4" s="10" t="n">
        <v>1</v>
      </c>
      <c r="C4" s="2" t="inlineStr">
        <is>
          <t>m</t>
        </is>
      </c>
      <c r="D4" s="9" t="inlineStr">
        <is>
          <t>Ancho del fondo del canal. Con b = 0 la sección es triangular.</t>
        </is>
      </c>
    </row>
    <row r="5">
      <c r="A5" s="7" t="inlineStr">
        <is>
          <t>Talud z (H:V)</t>
        </is>
      </c>
      <c r="B5" s="10" t="n">
        <v>1</v>
      </c>
      <c r="C5" s="2" t="inlineStr"/>
      <c r="D5" s="9" t="inlineStr">
        <is>
          <t>z = 0 canal rectangular; z = 1 talud a 45°; z = 1,5 talud tendido.</t>
        </is>
      </c>
      <c r="F5" s="7" t="inlineStr">
        <is>
          <t>Curva de descarga del canal</t>
        </is>
      </c>
    </row>
    <row r="6">
      <c r="A6" s="7" t="inlineStr">
        <is>
          <t>Tirante y</t>
        </is>
      </c>
      <c r="B6" s="10" t="n">
        <v>0.5</v>
      </c>
      <c r="C6" s="2" t="inlineStr">
        <is>
          <t>m</t>
        </is>
      </c>
      <c r="D6" s="9" t="inlineStr">
        <is>
          <t>Profundidad del agua medida desde el fondo.</t>
        </is>
      </c>
      <c r="F6" s="11" t="inlineStr">
        <is>
          <t>Tirante y (m)</t>
        </is>
      </c>
      <c r="G6" s="11" t="inlineStr">
        <is>
          <t>Área (m²)</t>
        </is>
      </c>
      <c r="H6" s="11" t="inlineStr">
        <is>
          <t>Caudal (m³/s)</t>
        </is>
      </c>
    </row>
    <row r="7">
      <c r="A7" s="7" t="inlineStr">
        <is>
          <t>Pendiente S</t>
        </is>
      </c>
      <c r="B7" s="10" t="n">
        <v>0.001</v>
      </c>
      <c r="C7" s="2" t="inlineStr">
        <is>
          <t>m/m</t>
        </is>
      </c>
      <c r="D7" s="9" t="inlineStr">
        <is>
          <t>Desnivel dividido entre la longitud. 0,001 = 1 por mil.</t>
        </is>
      </c>
      <c r="F7" s="6" t="n">
        <v>0.05</v>
      </c>
      <c r="G7" s="6">
        <f>ROUND(($B$4+$B$5*F7)*F7,4)</f>
        <v/>
      </c>
      <c r="H7" s="6">
        <f>IF($B$8=0,"",ROUND((1/$B$8)*(G7/($B$4+2*F7*SQRT(1+$B$5^2)))^(2/3)*$B$7^0.5*G7,4))</f>
        <v/>
      </c>
    </row>
    <row r="8">
      <c r="A8" s="7" t="inlineStr">
        <is>
          <t>Rugosidad n</t>
        </is>
      </c>
      <c r="B8" s="10" t="n">
        <v>0.025</v>
      </c>
      <c r="C8" s="2" t="inlineStr"/>
      <c r="D8" s="9" t="inlineStr">
        <is>
          <t>Concreto pulido 0,013 · concreto rugoso 0,017 · tierra recta 0,022 · cauce natural limpio 0,030 · cauce con vegetación y piedras 0,040 a 0,070.</t>
        </is>
      </c>
      <c r="F8" s="6" t="n">
        <v>0.1</v>
      </c>
      <c r="G8" s="6">
        <f>ROUND(($B$4+$B$5*F8)*F8,4)</f>
        <v/>
      </c>
      <c r="H8" s="6">
        <f>IF($B$8=0,"",ROUND((1/$B$8)*(G8/($B$4+2*F8*SQRT(1+$B$5^2)))^(2/3)*$B$7^0.5*G8,4))</f>
        <v/>
      </c>
    </row>
    <row r="9">
      <c r="F9" s="6" t="n">
        <v>0.15</v>
      </c>
      <c r="G9" s="6">
        <f>ROUND(($B$4+$B$5*F9)*F9,4)</f>
        <v/>
      </c>
      <c r="H9" s="6">
        <f>IF($B$8=0,"",ROUND((1/$B$8)*(G9/($B$4+2*F9*SQRT(1+$B$5^2)))^(2/3)*$B$7^0.5*G9,4))</f>
        <v/>
      </c>
    </row>
    <row r="10">
      <c r="A10" s="7" t="inlineStr">
        <is>
          <t>Área hidráulica A</t>
        </is>
      </c>
      <c r="B10" s="8">
        <f>ROUND((B4+B5*B6)*B6,4)</f>
        <v/>
      </c>
      <c r="C10" s="2" t="inlineStr">
        <is>
          <t>m²</t>
        </is>
      </c>
      <c r="F10" s="6" t="n">
        <v>0.2</v>
      </c>
      <c r="G10" s="6">
        <f>ROUND(($B$4+$B$5*F10)*F10,4)</f>
        <v/>
      </c>
      <c r="H10" s="6">
        <f>IF($B$8=0,"",ROUND((1/$B$8)*(G10/($B$4+2*F10*SQRT(1+$B$5^2)))^(2/3)*$B$7^0.5*G10,4))</f>
        <v/>
      </c>
    </row>
    <row r="11">
      <c r="A11" s="7" t="inlineStr">
        <is>
          <t>Perímetro mojado P</t>
        </is>
      </c>
      <c r="B11" s="8">
        <f>ROUND(B4+2*B6*SQRT(1+B5^2),4)</f>
        <v/>
      </c>
      <c r="C11" s="2" t="inlineStr">
        <is>
          <t>m</t>
        </is>
      </c>
      <c r="F11" s="6" t="n">
        <v>0.25</v>
      </c>
      <c r="G11" s="6">
        <f>ROUND(($B$4+$B$5*F11)*F11,4)</f>
        <v/>
      </c>
      <c r="H11" s="6">
        <f>IF($B$8=0,"",ROUND((1/$B$8)*(G11/($B$4+2*F11*SQRT(1+$B$5^2)))^(2/3)*$B$7^0.5*G11,4))</f>
        <v/>
      </c>
    </row>
    <row r="12">
      <c r="A12" s="7" t="inlineStr">
        <is>
          <t>Radio hidráulico R</t>
        </is>
      </c>
      <c r="B12" s="8">
        <f>IF(B11=0,"",ROUND(B10/B11,4))</f>
        <v/>
      </c>
      <c r="C12" s="2" t="inlineStr">
        <is>
          <t>m</t>
        </is>
      </c>
      <c r="F12" s="6" t="n">
        <v>0.3</v>
      </c>
      <c r="G12" s="6">
        <f>ROUND(($B$4+$B$5*F12)*F12,4)</f>
        <v/>
      </c>
      <c r="H12" s="6">
        <f>IF($B$8=0,"",ROUND((1/$B$8)*(G12/($B$4+2*F12*SQRT(1+$B$5^2)))^(2/3)*$B$7^0.5*G12,4))</f>
        <v/>
      </c>
    </row>
    <row r="13">
      <c r="A13" s="7" t="inlineStr">
        <is>
          <t>Espejo de agua T</t>
        </is>
      </c>
      <c r="B13" s="8">
        <f>ROUND(B4+2*B5*B6,4)</f>
        <v/>
      </c>
      <c r="C13" s="2" t="inlineStr">
        <is>
          <t>m</t>
        </is>
      </c>
      <c r="F13" s="6" t="n">
        <v>0.35</v>
      </c>
      <c r="G13" s="6">
        <f>ROUND(($B$4+$B$5*F13)*F13,4)</f>
        <v/>
      </c>
      <c r="H13" s="6">
        <f>IF($B$8=0,"",ROUND((1/$B$8)*(G13/($B$4+2*F13*SQRT(1+$B$5^2)))^(2/3)*$B$7^0.5*G13,4))</f>
        <v/>
      </c>
    </row>
    <row r="14">
      <c r="A14" s="7" t="inlineStr">
        <is>
          <t>Velocidad V</t>
        </is>
      </c>
      <c r="B14" s="8">
        <f>IF(OR(B8=0,B12=""),"",ROUND((1/B8)*B12^(2/3)*B7^0.5,4))</f>
        <v/>
      </c>
      <c r="C14" s="2" t="inlineStr">
        <is>
          <t>m/s</t>
        </is>
      </c>
      <c r="F14" s="6" t="n">
        <v>0.4</v>
      </c>
      <c r="G14" s="6">
        <f>ROUND(($B$4+$B$5*F14)*F14,4)</f>
        <v/>
      </c>
      <c r="H14" s="6">
        <f>IF($B$8=0,"",ROUND((1/$B$8)*(G14/($B$4+2*F14*SQRT(1+$B$5^2)))^(2/3)*$B$7^0.5*G14,4))</f>
        <v/>
      </c>
    </row>
    <row r="15">
      <c r="A15" s="7" t="inlineStr">
        <is>
          <t>Caudal Q</t>
        </is>
      </c>
      <c r="B15" s="8">
        <f>IF(B14="","",ROUND(B14*B10,4))</f>
        <v/>
      </c>
      <c r="C15" s="2" t="inlineStr">
        <is>
          <t>m³/s</t>
        </is>
      </c>
      <c r="F15" s="6" t="n">
        <v>0.45</v>
      </c>
      <c r="G15" s="6">
        <f>ROUND(($B$4+$B$5*F15)*F15,4)</f>
        <v/>
      </c>
      <c r="H15" s="6">
        <f>IF($B$8=0,"",ROUND((1/$B$8)*(G15/($B$4+2*F15*SQRT(1+$B$5^2)))^(2/3)*$B$7^0.5*G15,4))</f>
        <v/>
      </c>
    </row>
    <row r="16">
      <c r="A16" s="7" t="inlineStr">
        <is>
          <t>Caudal Q</t>
        </is>
      </c>
      <c r="B16" s="8">
        <f>IF(B15="","",ROUND(B15*1000,1))</f>
        <v/>
      </c>
      <c r="C16" s="2" t="inlineStr">
        <is>
          <t>L/s</t>
        </is>
      </c>
      <c r="F16" s="6" t="n">
        <v>0.5</v>
      </c>
      <c r="G16" s="6">
        <f>ROUND(($B$4+$B$5*F16)*F16,4)</f>
        <v/>
      </c>
      <c r="H16" s="6">
        <f>IF($B$8=0,"",ROUND((1/$B$8)*(G16/($B$4+2*F16*SQRT(1+$B$5^2)))^(2/3)*$B$7^0.5*G16,4))</f>
        <v/>
      </c>
    </row>
    <row r="17">
      <c r="A17" s="7" t="inlineStr">
        <is>
          <t>Número de Froude</t>
        </is>
      </c>
      <c r="B17" s="8">
        <f>IF(OR(B13=0,B14=""),"",ROUND(B14/SQRT(9.81*(B10/B13)),3))</f>
        <v/>
      </c>
      <c r="C17" s="2" t="inlineStr"/>
      <c r="F17" s="6" t="n">
        <v>0.55</v>
      </c>
      <c r="G17" s="6">
        <f>ROUND(($B$4+$B$5*F17)*F17,4)</f>
        <v/>
      </c>
      <c r="H17" s="6">
        <f>IF($B$8=0,"",ROUND((1/$B$8)*(G17/($B$4+2*F17*SQRT(1+$B$5^2)))^(2/3)*$B$7^0.5*G17,4))</f>
        <v/>
      </c>
    </row>
    <row r="18">
      <c r="C18" s="2">
        <f>IF(B17="","",IF(B17&lt;0.95,"Régimen subcrítico (tranquilo)",IF(B17&gt;1.05,"Régimen supercrítico (rápido)","Cerca del crítico: flujo inestable")))</f>
        <v/>
      </c>
      <c r="F18" s="6" t="n">
        <v>0.6</v>
      </c>
      <c r="G18" s="6">
        <f>ROUND(($B$4+$B$5*F18)*F18,4)</f>
        <v/>
      </c>
      <c r="H18" s="6">
        <f>IF($B$8=0,"",ROUND((1/$B$8)*(G18/($B$4+2*F18*SQRT(1+$B$5^2)))^(2/3)*$B$7^0.5*G18,4))</f>
        <v/>
      </c>
    </row>
    <row r="19">
      <c r="A19" s="9" t="inlineStr">
        <is>
          <t>La rugosidad n es la fuente de error dominante: una diferencia de 0,025 a 0,035 cambia el caudal en cerca de un 30 %. Cuando el resultado tenga consecuencias, contrasta el valor calculado contra un aforo real.</t>
        </is>
      </c>
      <c r="F19" s="6" t="n">
        <v>0.65</v>
      </c>
      <c r="G19" s="6">
        <f>ROUND(($B$4+$B$5*F19)*F19,4)</f>
        <v/>
      </c>
      <c r="H19" s="6">
        <f>IF($B$8=0,"",ROUND((1/$B$8)*(G19/($B$4+2*F19*SQRT(1+$B$5^2)))^(2/3)*$B$7^0.5*G19,4))</f>
        <v/>
      </c>
    </row>
    <row r="20">
      <c r="F20" s="6" t="n">
        <v>0.7</v>
      </c>
      <c r="G20" s="6">
        <f>ROUND(($B$4+$B$5*F20)*F20,4)</f>
        <v/>
      </c>
      <c r="H20" s="6">
        <f>IF($B$8=0,"",ROUND((1/$B$8)*(G20/($B$4+2*F20*SQRT(1+$B$5^2)))^(2/3)*$B$7^0.5*G20,4))</f>
        <v/>
      </c>
    </row>
    <row r="21">
      <c r="F21" s="6" t="n">
        <v>0.75</v>
      </c>
      <c r="G21" s="6">
        <f>ROUND(($B$4+$B$5*F21)*F21,4)</f>
        <v/>
      </c>
      <c r="H21" s="6">
        <f>IF($B$8=0,"",ROUND((1/$B$8)*(G21/($B$4+2*F21*SQRT(1+$B$5^2)))^(2/3)*$B$7^0.5*G21,4))</f>
        <v/>
      </c>
    </row>
    <row r="22">
      <c r="F22" s="6" t="n">
        <v>0.8</v>
      </c>
      <c r="G22" s="6">
        <f>ROUND(($B$4+$B$5*F22)*F22,4)</f>
        <v/>
      </c>
      <c r="H22" s="6">
        <f>IF($B$8=0,"",ROUND((1/$B$8)*(G22/($B$4+2*F22*SQRT(1+$B$5^2)))^(2/3)*$B$7^0.5*G22,4))</f>
        <v/>
      </c>
    </row>
    <row r="23">
      <c r="F23" s="6" t="n">
        <v>0.85</v>
      </c>
      <c r="G23" s="6">
        <f>ROUND(($B$4+$B$5*F23)*F23,4)</f>
        <v/>
      </c>
      <c r="H23" s="6">
        <f>IF($B$8=0,"",ROUND((1/$B$8)*(G23/($B$4+2*F23*SQRT(1+$B$5^2)))^(2/3)*$B$7^0.5*G23,4))</f>
        <v/>
      </c>
    </row>
    <row r="24">
      <c r="F24" s="6" t="n">
        <v>0.9</v>
      </c>
      <c r="G24" s="6">
        <f>ROUND(($B$4+$B$5*F24)*F24,4)</f>
        <v/>
      </c>
      <c r="H24" s="6">
        <f>IF($B$8=0,"",ROUND((1/$B$8)*(G24/($B$4+2*F24*SQRT(1+$B$5^2)))^(2/3)*$B$7^0.5*G24,4))</f>
        <v/>
      </c>
    </row>
    <row r="25">
      <c r="F25" s="6" t="n">
        <v>0.95</v>
      </c>
      <c r="G25" s="6">
        <f>ROUND(($B$4+$B$5*F25)*F25,4)</f>
        <v/>
      </c>
      <c r="H25" s="6">
        <f>IF($B$8=0,"",ROUND((1/$B$8)*(G25/($B$4+2*F25*SQRT(1+$B$5^2)))^(2/3)*$B$7^0.5*G25,4))</f>
        <v/>
      </c>
    </row>
    <row r="26">
      <c r="F26" s="6" t="n">
        <v>1</v>
      </c>
      <c r="G26" s="6">
        <f>ROUND(($B$4+$B$5*F26)*F26,4)</f>
        <v/>
      </c>
      <c r="H26" s="6">
        <f>IF($B$8=0,"",ROUND((1/$B$8)*(G26/($B$4+2*F26*SQRT(1+$B$5^2)))^(2/3)*$B$7^0.5*G26,4))</f>
        <v/>
      </c>
    </row>
  </sheetData>
  <mergeCells count="1">
    <mergeCell ref="A19:D19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8" customWidth="1" min="4" max="4"/>
  </cols>
  <sheetData>
    <row r="1">
      <c r="A1" s="1" t="inlineStr">
        <is>
          <t>RESUMEN DE RESULTADOS Y FÓRMULAS EMPLEADAS</t>
        </is>
      </c>
    </row>
    <row r="2">
      <c r="A2" s="2" t="inlineStr">
        <is>
          <t>Los caudales se traen solos de las hojas anteriores conforme las completas.</t>
        </is>
      </c>
    </row>
    <row r="4">
      <c r="A4" s="3" t="inlineStr">
        <is>
          <t>Método</t>
        </is>
      </c>
      <c r="B4" s="3" t="inlineStr">
        <is>
          <t>Caudal (m³/s)</t>
        </is>
      </c>
      <c r="C4" s="3" t="inlineStr">
        <is>
          <t>Caudal (L/s)</t>
        </is>
      </c>
      <c r="D4" s="3" t="inlineStr">
        <is>
          <t>Cuándo se usa</t>
        </is>
      </c>
    </row>
    <row r="5">
      <c r="A5" s="12" t="inlineStr">
        <is>
          <t>Área-velocidad (ISO 748)</t>
        </is>
      </c>
      <c r="B5" s="6">
        <f>IFERROR(IF('1 · Área-velocidad'!B38="","",'1 · Área-velocidad'!B38),"")</f>
        <v/>
      </c>
      <c r="C5" s="6">
        <f>IF($B5="","",ROUND($B5*1000,1))</f>
        <v/>
      </c>
      <c r="D5" s="13" t="inlineStr">
        <is>
          <t>Método de referencia. Exige correntómetro. Es el que se reporta cuando hay compromiso normativo.</t>
        </is>
      </c>
    </row>
    <row r="6">
      <c r="A6" s="12" t="inlineStr">
        <is>
          <t>Flotador</t>
        </is>
      </c>
      <c r="B6" s="6">
        <f>IFERROR(IF('2 · Flotador y volumétrico'!B17="","",'2 · Flotador y volumétrico'!B17),"")</f>
        <v/>
      </c>
      <c r="C6" s="6">
        <f>IF($B6="","",ROUND($B6*1000,1))</f>
        <v/>
      </c>
      <c r="D6" s="13" t="inlineStr">
        <is>
          <t>Estimación de campo sin correntómetro. Debe declararse como estimación en el informe.</t>
        </is>
      </c>
    </row>
    <row r="7">
      <c r="A7" s="12" t="inlineStr">
        <is>
          <t>Volumétrico</t>
        </is>
      </c>
      <c r="B7" s="6">
        <f>IFERROR(IF('2 · Flotador y volumétrico'!B33="","",'2 · Flotador y volumétrico'!B33),"")</f>
        <v/>
      </c>
      <c r="C7" s="6">
        <f>IF($B7="","",ROUND($B7*1000,1))</f>
        <v/>
      </c>
      <c r="D7" s="13" t="inlineStr">
        <is>
          <t>Descargas pequeñas con caída libre: manantiales, vertimientos, salidas de tubería.</t>
        </is>
      </c>
    </row>
    <row r="8">
      <c r="A8" s="12" t="inlineStr">
        <is>
          <t>Vertedero triangular 90°</t>
        </is>
      </c>
      <c r="B8" s="6">
        <f>IFERROR(IF('3 · Vertederos'!B6="","",'3 · Vertederos'!B6),"")</f>
        <v/>
      </c>
      <c r="C8" s="6">
        <f>IF($B8="","",ROUND($B8*1000,1))</f>
        <v/>
      </c>
      <c r="D8" s="13" t="inlineStr">
        <is>
          <t>Estructura permanente para caudales pequeños. El más preciso del grupo.</t>
        </is>
      </c>
    </row>
    <row r="9">
      <c r="A9" s="12" t="inlineStr">
        <is>
          <t>Vertedero rectangular</t>
        </is>
      </c>
      <c r="B9" s="6">
        <f>IFERROR(IF('3 · Vertederos'!B12="","",'3 · Vertederos'!B12),"")</f>
        <v/>
      </c>
      <c r="C9" s="6">
        <f>IF($B9="","",ROUND($B9*1000,1))</f>
        <v/>
      </c>
      <c r="D9" s="13" t="inlineStr">
        <is>
          <t>Estructura permanente para caudales medianos y grandes.</t>
        </is>
      </c>
    </row>
    <row r="10">
      <c r="A10" s="12" t="inlineStr">
        <is>
          <t>Vertedero Cipolletti</t>
        </is>
      </c>
      <c r="B10" s="6">
        <f>IFERROR(IF('3 · Vertederos'!B25="","",'3 · Vertederos'!B25),"")</f>
        <v/>
      </c>
      <c r="C10" s="6">
        <f>IF($B10="","",ROUND($B10*1000,1))</f>
        <v/>
      </c>
      <c r="D10" s="13" t="inlineStr">
        <is>
          <t>Trapezoidal de taludes 1:4; muy usado en canales de riego.</t>
        </is>
      </c>
    </row>
    <row r="11">
      <c r="A11" s="12" t="inlineStr">
        <is>
          <t>Canal por Manning</t>
        </is>
      </c>
      <c r="B11" s="6">
        <f>IFERROR(IF('4 · Canales (Manning)'!B15="","",'4 · Canales (Manning)'!B15),"")</f>
        <v/>
      </c>
      <c r="C11" s="6">
        <f>IF($B11="","",ROUND($B11*1000,1))</f>
        <v/>
      </c>
      <c r="D11" s="13" t="inlineStr">
        <is>
          <t>Cálculo, no medición: estima el caudal de un canal por su geometría, pendiente y rugosidad.</t>
        </is>
      </c>
    </row>
    <row r="14">
      <c r="A14" s="7" t="inlineStr">
        <is>
          <t>Fórmulas empleadas</t>
        </is>
      </c>
    </row>
    <row r="15">
      <c r="A15" s="3" t="inlineStr">
        <is>
          <t>Concepto</t>
        </is>
      </c>
      <c r="B15" s="3" t="inlineStr">
        <is>
          <t>Expresión</t>
        </is>
      </c>
      <c r="C15" s="3" t="inlineStr">
        <is>
          <t>Referencia</t>
        </is>
      </c>
    </row>
    <row r="16">
      <c r="A16" s="12" t="inlineStr">
        <is>
          <t>Velocidad media en la vertical</t>
        </is>
      </c>
      <c r="B16" s="14" t="inlineStr">
        <is>
          <t>v = v(0,6h) si y &lt; 0,75 m   ·   v = [v(0,2h) + v(0,8h)] / 2 si y ≥ 0,75 m</t>
        </is>
      </c>
      <c r="C16" s="17" t="n"/>
      <c r="D16" s="16" t="inlineStr">
        <is>
          <t>ISO 748</t>
        </is>
      </c>
    </row>
    <row r="17">
      <c r="A17" s="12" t="inlineStr">
        <is>
          <t>Caudal por secciones medias</t>
        </is>
      </c>
      <c r="B17" s="14" t="inlineStr">
        <is>
          <t>Q = Σ [ ((x(i+1) − x(i−1)) / 2) · y(i) · v(i) ]</t>
        </is>
      </c>
      <c r="C17" s="17" t="n"/>
      <c r="D17" s="16" t="inlineStr">
        <is>
          <t>ISO 748</t>
        </is>
      </c>
    </row>
    <row r="18">
      <c r="A18" s="12" t="inlineStr">
        <is>
          <t>Flotador</t>
        </is>
      </c>
      <c r="B18" s="14" t="inlineStr">
        <is>
          <t>Q = A · (L / t) · C   ·   C = 0,85 cauce natural; 0,90 canal liso</t>
        </is>
      </c>
      <c r="C18" s="17" t="n"/>
      <c r="D18" s="16" t="inlineStr">
        <is>
          <t>Estimación de campo</t>
        </is>
      </c>
    </row>
    <row r="19">
      <c r="A19" s="12" t="inlineStr">
        <is>
          <t>Volumétrico</t>
        </is>
      </c>
      <c r="B19" s="14" t="inlineStr">
        <is>
          <t>Q = Volumen / tiempo promedio</t>
        </is>
      </c>
      <c r="C19" s="17" t="n"/>
      <c r="D19" s="16" t="inlineStr">
        <is>
          <t>—</t>
        </is>
      </c>
    </row>
    <row r="20">
      <c r="A20" s="12" t="inlineStr">
        <is>
          <t>Vertedero triangular 90°</t>
        </is>
      </c>
      <c r="B20" s="14" t="inlineStr">
        <is>
          <t>Q = 1,4 · H^2,5</t>
        </is>
      </c>
      <c r="C20" s="17" t="n"/>
      <c r="D20" s="16" t="inlineStr">
        <is>
          <t>Thomson</t>
        </is>
      </c>
    </row>
    <row r="21">
      <c r="A21" s="12" t="inlineStr">
        <is>
          <t>Vertedero rectangular</t>
        </is>
      </c>
      <c r="B21" s="14" t="inlineStr">
        <is>
          <t>Q = 1,84 · L · H^1,5   ·   con contracciones: L − 0,2·H</t>
        </is>
      </c>
      <c r="C21" s="17" t="n"/>
      <c r="D21" s="16" t="inlineStr">
        <is>
          <t>Francis</t>
        </is>
      </c>
    </row>
    <row r="22">
      <c r="A22" s="12" t="inlineStr">
        <is>
          <t>Vertedero Cipolletti</t>
        </is>
      </c>
      <c r="B22" s="14" t="inlineStr">
        <is>
          <t>Q = 1,859 · L · H^1,5</t>
        </is>
      </c>
      <c r="C22" s="17" t="n"/>
      <c r="D22" s="16" t="inlineStr">
        <is>
          <t>Cipolletti</t>
        </is>
      </c>
    </row>
    <row r="23">
      <c r="A23" s="12" t="inlineStr">
        <is>
          <t>Canales</t>
        </is>
      </c>
      <c r="B23" s="14" t="inlineStr">
        <is>
          <t>V = (1/n) · R^(2/3) · S^(1/2)   ·   Q = V · A   ·   R = A / P</t>
        </is>
      </c>
      <c r="C23" s="17" t="n"/>
      <c r="D23" s="16" t="inlineStr">
        <is>
          <t>Manning</t>
        </is>
      </c>
    </row>
    <row r="24">
      <c r="A24" s="12" t="inlineStr">
        <is>
          <t>Número de Froude</t>
        </is>
      </c>
      <c r="B24" s="14" t="inlineStr">
        <is>
          <t>Fr = V / √(g · A / T)   ·   Fr &lt; 1 subcrítico; Fr &gt; 1 supercrítico</t>
        </is>
      </c>
      <c r="C24" s="17" t="n"/>
      <c r="D24" s="16" t="inlineStr">
        <is>
          <t>—</t>
        </is>
      </c>
    </row>
    <row r="27">
      <c r="A27" s="9" t="inlineStr">
        <is>
          <t>Buena práctica de campo: el caudal se mide en la misma jornada que se toman las muestras y se anota la hora, porque el resultado se usa para calcular cargas contaminantes y para interpretar la dilución. Un informe con concentraciones y sin caudal no permite estimar carga alguna.</t>
        </is>
      </c>
    </row>
  </sheetData>
  <mergeCells count="10">
    <mergeCell ref="B21:C21"/>
    <mergeCell ref="A27:D27"/>
    <mergeCell ref="B24:C24"/>
    <mergeCell ref="B16:C16"/>
    <mergeCell ref="B19:C19"/>
    <mergeCell ref="B20:C20"/>
    <mergeCell ref="B23:C23"/>
    <mergeCell ref="B22:C22"/>
    <mergeCell ref="B17:C17"/>
    <mergeCell ref="B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2026-07-18T19:12:07Z</dcterms:created>
  <dcterms:modified xmlns:dcterms="http://purl.org/dc/terms/" xmlns:xsi="http://www.w3.org/2001/XMLSchema-instance" xsi:type="dcterms:W3CDTF">2026-07-22T17:04:20Z</dcterms:modified>
</cp:coreProperties>
</file>